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0755" yWindow="825" windowWidth="10800" windowHeight="9060" tabRatio="810"/>
  </bookViews>
  <sheets>
    <sheet name="СПИСОК КЛАССА" sheetId="1" r:id="rId1"/>
    <sheet name="ПРОТОКОЛ" sheetId="6" r:id="rId2"/>
    <sheet name="АНКЕТА УЧИТЕЛЯ" sheetId="7" r:id="rId3"/>
    <sheet name="ОТВЕТЫ УЧАЩИХСЯ" sheetId="2" r:id="rId4"/>
    <sheet name="Результаты_Класс" sheetId="3" r:id="rId5"/>
    <sheet name="План" sheetId="9" r:id="rId6"/>
    <sheet name="Коридор" sheetId="25" r:id="rId7"/>
    <sheet name="Уровни" sheetId="18" r:id="rId8"/>
    <sheet name="Базовый_1" sheetId="17" r:id="rId9"/>
    <sheet name="Базовый_2" sheetId="22" r:id="rId10"/>
    <sheet name="Базовый_3" sheetId="26" r:id="rId11"/>
    <sheet name="Пов_1" sheetId="19" r:id="rId12"/>
    <sheet name="КИМ_2" sheetId="27" r:id="rId13"/>
    <sheet name="Лист1" sheetId="21" r:id="rId14"/>
  </sheets>
  <definedNames>
    <definedName name="Z_BFE542F4_8A0C_4C42_A5CA_C7B0ACF2717E_.wvu.Cols" localSheetId="3" hidden="1">'ОТВЕТЫ УЧАЩИХСЯ'!$A:$B,'ОТВЕТЫ УЧАЩИХСЯ'!#REF!,'ОТВЕТЫ УЧАЩИХСЯ'!#REF!</definedName>
    <definedName name="Z_BFE542F4_8A0C_4C42_A5CA_C7B0ACF2717E_.wvu.Cols" localSheetId="4" hidden="1">Результаты_Класс!$A:$B,Результаты_Класс!$E:$E</definedName>
    <definedName name="Z_BFE542F4_8A0C_4C42_A5CA_C7B0ACF2717E_.wvu.Cols" localSheetId="0" hidden="1">'СПИСОК КЛАССА'!$K:$L,'СПИСОК КЛАССА'!$N:$N</definedName>
    <definedName name="Z_BFE542F4_8A0C_4C42_A5CA_C7B0ACF2717E_.wvu.PrintArea" localSheetId="3" hidden="1">'ОТВЕТЫ УЧАЩИХСЯ'!$A$1:$U$59</definedName>
    <definedName name="Z_BFE542F4_8A0C_4C42_A5CA_C7B0ACF2717E_.wvu.PrintArea" localSheetId="4" hidden="1">Результаты_Класс!$A$1:$AA$59</definedName>
    <definedName name="Z_BFE542F4_8A0C_4C42_A5CA_C7B0ACF2717E_.wvu.PrintTitles" localSheetId="6" hidden="1">Коридор!$5:$6</definedName>
    <definedName name="Z_BFE542F4_8A0C_4C42_A5CA_C7B0ACF2717E_.wvu.PrintTitles" localSheetId="5" hidden="1">План!$4:$5</definedName>
    <definedName name="Z_BFE542F4_8A0C_4C42_A5CA_C7B0ACF2717E_.wvu.Rows" localSheetId="2" hidden="1">'АНКЕТА УЧИТЕЛЯ'!$52:$65</definedName>
    <definedName name="Z_BFE542F4_8A0C_4C42_A5CA_C7B0ACF2717E_.wvu.Rows" localSheetId="3" hidden="1">'ОТВЕТЫ УЧАЩИХСЯ'!#REF!</definedName>
    <definedName name="Z_BFE542F4_8A0C_4C42_A5CA_C7B0ACF2717E_.wvu.Rows" localSheetId="1" hidden="1">ПРОТОКОЛ!$60:$68</definedName>
    <definedName name="Z_BFE542F4_8A0C_4C42_A5CA_C7B0ACF2717E_.wvu.Rows" localSheetId="4" hidden="1">Результаты_Класс!$16:$19</definedName>
    <definedName name="Z_BFE542F4_8A0C_4C42_A5CA_C7B0ACF2717E_.wvu.Rows" localSheetId="0" hidden="1">'СПИСОК КЛАССА'!$6:$6</definedName>
    <definedName name="_xlnm.Print_Titles" localSheetId="5">План!$4:$5</definedName>
    <definedName name="_xlnm.Print_Area" localSheetId="3">'ОТВЕТЫ УЧАЩИХСЯ'!$A$1:$U$59</definedName>
    <definedName name="_xlnm.Print_Area" localSheetId="4">Результаты_Класс!$A$1:$AA$59</definedName>
  </definedNames>
  <calcPr calcId="124519"/>
  <customWorkbookViews>
    <customWorkbookView name="РЦОКО - Личное представление" guid="{BFE542F4-8A0C-4C42-A5CA-C7B0ACF2717E}" mergeInterval="0" personalView="1" maximized="1" windowWidth="1676" windowHeight="811" tabRatio="810" activeSheetId="8"/>
  </customWorkbookViews>
</workbook>
</file>

<file path=xl/calcChain.xml><?xml version="1.0" encoding="utf-8"?>
<calcChain xmlns="http://schemas.openxmlformats.org/spreadsheetml/2006/main">
  <c r="E20" i="1"/>
  <c r="E21"/>
  <c r="E22"/>
  <c r="E23"/>
  <c r="E24"/>
  <c r="E25"/>
  <c r="E26"/>
  <c r="E27"/>
  <c r="E28"/>
  <c r="E29"/>
  <c r="E30"/>
  <c r="E31"/>
  <c r="E32"/>
  <c r="E33"/>
  <c r="N4" i="27"/>
  <c r="B4"/>
  <c r="A3"/>
  <c r="C20" i="2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21"/>
  <c r="AD22"/>
  <c r="AD23"/>
  <c r="AD24"/>
  <c r="AD25"/>
  <c r="AD26"/>
  <c r="AD20"/>
  <c r="AC20"/>
  <c r="E7"/>
  <c r="F6" i="3" s="1"/>
  <c r="E6" i="2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A20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21"/>
  <c r="AA22"/>
  <c r="AA23"/>
  <c r="AA24"/>
  <c r="AA25"/>
  <c r="E34" i="1"/>
  <c r="E35"/>
  <c r="E36"/>
  <c r="E37"/>
  <c r="E38"/>
  <c r="E39"/>
  <c r="E40"/>
  <c r="E41"/>
  <c r="E42"/>
  <c r="E43"/>
  <c r="E44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E45"/>
  <c r="C20" i="3"/>
  <c r="E20" s="1"/>
  <c r="B2" i="25"/>
  <c r="A1" i="19"/>
  <c r="B3"/>
  <c r="M3"/>
  <c r="C2" i="22"/>
  <c r="F2"/>
  <c r="B3" i="18"/>
  <c r="K3"/>
  <c r="B2" i="17"/>
  <c r="F2"/>
  <c r="B2" i="9"/>
  <c r="I2"/>
  <c r="I2" i="3"/>
  <c r="O2"/>
  <c r="G4"/>
  <c r="K6"/>
  <c r="A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AF33" s="1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D46"/>
  <c r="C46"/>
  <c r="A47"/>
  <c r="AF47" s="1"/>
  <c r="C47"/>
  <c r="A48"/>
  <c r="AD48" s="1"/>
  <c r="D48"/>
  <c r="C48"/>
  <c r="Y48" s="1"/>
  <c r="A49"/>
  <c r="AF49" s="1"/>
  <c r="C49"/>
  <c r="U49" s="1"/>
  <c r="D49"/>
  <c r="A50"/>
  <c r="AD50" s="1"/>
  <c r="C50"/>
  <c r="D50"/>
  <c r="A51"/>
  <c r="AF51" s="1"/>
  <c r="C51"/>
  <c r="U51" s="1"/>
  <c r="D51"/>
  <c r="A52"/>
  <c r="AD52" s="1"/>
  <c r="C52"/>
  <c r="D52"/>
  <c r="A53"/>
  <c r="AF53" s="1"/>
  <c r="C53"/>
  <c r="U53" s="1"/>
  <c r="D53"/>
  <c r="A54"/>
  <c r="AD54" s="1"/>
  <c r="C54"/>
  <c r="D54"/>
  <c r="A55"/>
  <c r="AF55" s="1"/>
  <c r="C55"/>
  <c r="U55" s="1"/>
  <c r="D55"/>
  <c r="A56"/>
  <c r="AD56" s="1"/>
  <c r="C56"/>
  <c r="D56"/>
  <c r="A57"/>
  <c r="AF57" s="1"/>
  <c r="C57"/>
  <c r="U57" s="1"/>
  <c r="D57"/>
  <c r="A58"/>
  <c r="AD58" s="1"/>
  <c r="C58"/>
  <c r="D58"/>
  <c r="A59"/>
  <c r="AF59" s="1"/>
  <c r="C59"/>
  <c r="W59" s="1"/>
  <c r="D59"/>
  <c r="H2" i="2"/>
  <c r="N2"/>
  <c r="G4"/>
  <c r="A20"/>
  <c r="D20"/>
  <c r="AK20" s="1"/>
  <c r="A21"/>
  <c r="D21"/>
  <c r="C21"/>
  <c r="A22"/>
  <c r="D22" s="1"/>
  <c r="AK22" s="1"/>
  <c r="C22"/>
  <c r="A23"/>
  <c r="D23" s="1"/>
  <c r="C23"/>
  <c r="A24"/>
  <c r="D24" s="1"/>
  <c r="C24"/>
  <c r="A25"/>
  <c r="D25"/>
  <c r="C25"/>
  <c r="A26"/>
  <c r="D26" s="1"/>
  <c r="AK26" s="1"/>
  <c r="C26"/>
  <c r="A27"/>
  <c r="D27" s="1"/>
  <c r="AK27" s="1"/>
  <c r="C27"/>
  <c r="A28"/>
  <c r="D28" s="1"/>
  <c r="C28"/>
  <c r="A29"/>
  <c r="D29"/>
  <c r="C29"/>
  <c r="A30"/>
  <c r="D30" s="1"/>
  <c r="AK30" s="1"/>
  <c r="C30"/>
  <c r="A31"/>
  <c r="D31" s="1"/>
  <c r="AK31" s="1"/>
  <c r="C31"/>
  <c r="A32"/>
  <c r="D32" s="1"/>
  <c r="C32"/>
  <c r="A33"/>
  <c r="D33"/>
  <c r="C33"/>
  <c r="A34"/>
  <c r="D34" s="1"/>
  <c r="AK34" s="1"/>
  <c r="C34"/>
  <c r="A35"/>
  <c r="D35" s="1"/>
  <c r="AK35" s="1"/>
  <c r="C35"/>
  <c r="A36"/>
  <c r="D36" s="1"/>
  <c r="C36"/>
  <c r="A37"/>
  <c r="D37"/>
  <c r="C37"/>
  <c r="A38"/>
  <c r="D38" s="1"/>
  <c r="AK38" s="1"/>
  <c r="C38"/>
  <c r="A39"/>
  <c r="D39" s="1"/>
  <c r="AK39" s="1"/>
  <c r="C39"/>
  <c r="A40"/>
  <c r="D40" s="1"/>
  <c r="C40"/>
  <c r="A41"/>
  <c r="D41"/>
  <c r="C41"/>
  <c r="A42"/>
  <c r="D42" s="1"/>
  <c r="AK42" s="1"/>
  <c r="C42"/>
  <c r="A43"/>
  <c r="D43" s="1"/>
  <c r="AK43" s="1"/>
  <c r="C43"/>
  <c r="A44"/>
  <c r="D44" s="1"/>
  <c r="C44"/>
  <c r="A45"/>
  <c r="D45"/>
  <c r="C45"/>
  <c r="A46"/>
  <c r="C46"/>
  <c r="D46"/>
  <c r="A47"/>
  <c r="C47"/>
  <c r="D47"/>
  <c r="A48"/>
  <c r="D48"/>
  <c r="C48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E2" i="7"/>
  <c r="H2"/>
  <c r="B7"/>
  <c r="B1" i="6"/>
  <c r="E1"/>
  <c r="H1"/>
  <c r="E46" i="1"/>
  <c r="E47"/>
  <c r="E48"/>
  <c r="E49"/>
  <c r="E50"/>
  <c r="E51"/>
  <c r="E52"/>
  <c r="E53"/>
  <c r="E54"/>
  <c r="E55"/>
  <c r="E56"/>
  <c r="E57"/>
  <c r="E58"/>
  <c r="E59"/>
  <c r="D47" i="3"/>
  <c r="E21"/>
  <c r="D32"/>
  <c r="D43"/>
  <c r="D35"/>
  <c r="D20"/>
  <c r="E41"/>
  <c r="E39"/>
  <c r="E37"/>
  <c r="E35"/>
  <c r="E31"/>
  <c r="E57"/>
  <c r="E58"/>
  <c r="E50"/>
  <c r="E47"/>
  <c r="E32"/>
  <c r="E30"/>
  <c r="E55"/>
  <c r="E45"/>
  <c r="E59"/>
  <c r="E54"/>
  <c r="E42"/>
  <c r="E22"/>
  <c r="E46"/>
  <c r="E29"/>
  <c r="E27"/>
  <c r="E24"/>
  <c r="D22"/>
  <c r="E34"/>
  <c r="D21"/>
  <c r="AC7" s="1"/>
  <c r="E26"/>
  <c r="D25"/>
  <c r="D23"/>
  <c r="D44"/>
  <c r="D31"/>
  <c r="D39"/>
  <c r="D36"/>
  <c r="D34"/>
  <c r="D33"/>
  <c r="D30"/>
  <c r="D29"/>
  <c r="Y29" s="1"/>
  <c r="D28"/>
  <c r="D38"/>
  <c r="E38"/>
  <c r="E28"/>
  <c r="E53"/>
  <c r="E49"/>
  <c r="E44"/>
  <c r="E48"/>
  <c r="D41"/>
  <c r="E52"/>
  <c r="E40"/>
  <c r="E43"/>
  <c r="E25"/>
  <c r="E23"/>
  <c r="D37"/>
  <c r="D40"/>
  <c r="D42"/>
  <c r="D26"/>
  <c r="D24"/>
  <c r="E56"/>
  <c r="D27"/>
  <c r="E51"/>
  <c r="E36"/>
  <c r="E33"/>
  <c r="A19"/>
  <c r="AC6"/>
  <c r="AK59" i="2"/>
  <c r="AK57"/>
  <c r="AK55"/>
  <c r="AK53"/>
  <c r="AK51"/>
  <c r="AK49"/>
  <c r="AK48"/>
  <c r="AK47"/>
  <c r="AK58"/>
  <c r="AK56"/>
  <c r="AK54"/>
  <c r="AK52"/>
  <c r="AK50"/>
  <c r="AK46"/>
  <c r="AK45"/>
  <c r="AK41"/>
  <c r="AK37"/>
  <c r="AK33"/>
  <c r="F41" i="3"/>
  <c r="F37"/>
  <c r="F33"/>
  <c r="F47"/>
  <c r="Q59"/>
  <c r="N59"/>
  <c r="M59"/>
  <c r="L59"/>
  <c r="T59"/>
  <c r="R59"/>
  <c r="P59"/>
  <c r="O59"/>
  <c r="K59"/>
  <c r="J59"/>
  <c r="I59"/>
  <c r="H59"/>
  <c r="S59"/>
  <c r="Q58"/>
  <c r="N58"/>
  <c r="M58"/>
  <c r="L58"/>
  <c r="T58"/>
  <c r="S58"/>
  <c r="R58"/>
  <c r="P58"/>
  <c r="O58"/>
  <c r="K58"/>
  <c r="J58"/>
  <c r="I58"/>
  <c r="H58"/>
  <c r="G58"/>
  <c r="Q57"/>
  <c r="N57"/>
  <c r="M57"/>
  <c r="L57"/>
  <c r="T57"/>
  <c r="R57"/>
  <c r="P57"/>
  <c r="O57"/>
  <c r="K57"/>
  <c r="J57"/>
  <c r="I57"/>
  <c r="H57"/>
  <c r="G57"/>
  <c r="S57"/>
  <c r="Q56"/>
  <c r="N56"/>
  <c r="M56"/>
  <c r="L56"/>
  <c r="T56"/>
  <c r="S56"/>
  <c r="R56"/>
  <c r="P56"/>
  <c r="O56"/>
  <c r="K56"/>
  <c r="J56"/>
  <c r="I56"/>
  <c r="H56"/>
  <c r="G56"/>
  <c r="Q55"/>
  <c r="N55"/>
  <c r="M55"/>
  <c r="L55"/>
  <c r="T55"/>
  <c r="R55"/>
  <c r="P55"/>
  <c r="O55"/>
  <c r="K55"/>
  <c r="J55"/>
  <c r="I55"/>
  <c r="H55"/>
  <c r="G55"/>
  <c r="S55"/>
  <c r="Q54"/>
  <c r="N54"/>
  <c r="M54"/>
  <c r="L54"/>
  <c r="T54"/>
  <c r="S54"/>
  <c r="R54"/>
  <c r="P54"/>
  <c r="O54"/>
  <c r="K54"/>
  <c r="J54"/>
  <c r="I54"/>
  <c r="H54"/>
  <c r="G54"/>
  <c r="Q53"/>
  <c r="N53"/>
  <c r="M53"/>
  <c r="L53"/>
  <c r="T53"/>
  <c r="R53"/>
  <c r="P53"/>
  <c r="O53"/>
  <c r="K53"/>
  <c r="J53"/>
  <c r="I53"/>
  <c r="H53"/>
  <c r="G53"/>
  <c r="S53"/>
  <c r="Q52"/>
  <c r="N52"/>
  <c r="M52"/>
  <c r="L52"/>
  <c r="T52"/>
  <c r="S52"/>
  <c r="R52"/>
  <c r="P52"/>
  <c r="O52"/>
  <c r="K52"/>
  <c r="J52"/>
  <c r="I52"/>
  <c r="H52"/>
  <c r="G52"/>
  <c r="Q51"/>
  <c r="N51"/>
  <c r="M51"/>
  <c r="L51"/>
  <c r="T51"/>
  <c r="R51"/>
  <c r="P51"/>
  <c r="O51"/>
  <c r="K51"/>
  <c r="J51"/>
  <c r="I51"/>
  <c r="H51"/>
  <c r="G51"/>
  <c r="S51"/>
  <c r="Q50"/>
  <c r="N50"/>
  <c r="M50"/>
  <c r="L50"/>
  <c r="T50"/>
  <c r="S50"/>
  <c r="R50"/>
  <c r="P50"/>
  <c r="O50"/>
  <c r="K50"/>
  <c r="J50"/>
  <c r="I50"/>
  <c r="H50"/>
  <c r="G50"/>
  <c r="Q49"/>
  <c r="N49"/>
  <c r="M49"/>
  <c r="L49"/>
  <c r="T49"/>
  <c r="R49"/>
  <c r="P49"/>
  <c r="O49"/>
  <c r="K49"/>
  <c r="J49"/>
  <c r="I49"/>
  <c r="H49"/>
  <c r="G49"/>
  <c r="S49"/>
  <c r="Q43"/>
  <c r="N43"/>
  <c r="M43"/>
  <c r="L43"/>
  <c r="T43"/>
  <c r="R43"/>
  <c r="P43"/>
  <c r="O43"/>
  <c r="K43"/>
  <c r="J43"/>
  <c r="I43"/>
  <c r="H43"/>
  <c r="G43"/>
  <c r="S43"/>
  <c r="Q42"/>
  <c r="N42"/>
  <c r="M42"/>
  <c r="L42"/>
  <c r="T42"/>
  <c r="S42"/>
  <c r="R42"/>
  <c r="P42"/>
  <c r="O42"/>
  <c r="K42"/>
  <c r="J42"/>
  <c r="I42"/>
  <c r="H42"/>
  <c r="G42"/>
  <c r="Q39"/>
  <c r="N39"/>
  <c r="M39"/>
  <c r="L39"/>
  <c r="T39"/>
  <c r="S39"/>
  <c r="R39"/>
  <c r="P39"/>
  <c r="O39"/>
  <c r="K39"/>
  <c r="J39"/>
  <c r="I39"/>
  <c r="H39"/>
  <c r="G39"/>
  <c r="Q38"/>
  <c r="N38"/>
  <c r="M38"/>
  <c r="L38"/>
  <c r="T38"/>
  <c r="S38"/>
  <c r="R38"/>
  <c r="P38"/>
  <c r="O38"/>
  <c r="K38"/>
  <c r="J38"/>
  <c r="I38"/>
  <c r="H38"/>
  <c r="G38"/>
  <c r="Q35"/>
  <c r="N35"/>
  <c r="M35"/>
  <c r="L35"/>
  <c r="T35"/>
  <c r="S35"/>
  <c r="R35"/>
  <c r="P35"/>
  <c r="O35"/>
  <c r="K35"/>
  <c r="J35"/>
  <c r="I35"/>
  <c r="H35"/>
  <c r="G35"/>
  <c r="Q34"/>
  <c r="N34"/>
  <c r="M34"/>
  <c r="L34"/>
  <c r="T34"/>
  <c r="S34"/>
  <c r="R34"/>
  <c r="P34"/>
  <c r="O34"/>
  <c r="K34"/>
  <c r="J34"/>
  <c r="I34"/>
  <c r="H34"/>
  <c r="G34"/>
  <c r="Q31"/>
  <c r="N31"/>
  <c r="M31"/>
  <c r="L31"/>
  <c r="T31"/>
  <c r="S31"/>
  <c r="R31"/>
  <c r="P31"/>
  <c r="O31"/>
  <c r="K31"/>
  <c r="J31"/>
  <c r="I31"/>
  <c r="H31"/>
  <c r="G31"/>
  <c r="Q30"/>
  <c r="N30"/>
  <c r="M30"/>
  <c r="L30"/>
  <c r="T30"/>
  <c r="S30"/>
  <c r="R30"/>
  <c r="P30"/>
  <c r="O30"/>
  <c r="K30"/>
  <c r="J30"/>
  <c r="I30"/>
  <c r="H30"/>
  <c r="G30"/>
  <c r="N29"/>
  <c r="L29"/>
  <c r="S29"/>
  <c r="P29"/>
  <c r="K29"/>
  <c r="I29"/>
  <c r="G29"/>
  <c r="Q28"/>
  <c r="N28"/>
  <c r="M28"/>
  <c r="L28"/>
  <c r="T28"/>
  <c r="S28"/>
  <c r="R28"/>
  <c r="P28"/>
  <c r="O28"/>
  <c r="K28"/>
  <c r="J28"/>
  <c r="I28"/>
  <c r="H28"/>
  <c r="G28"/>
  <c r="Q27"/>
  <c r="N27"/>
  <c r="M27"/>
  <c r="L27"/>
  <c r="T27"/>
  <c r="S27"/>
  <c r="R27"/>
  <c r="P27"/>
  <c r="O27"/>
  <c r="K27"/>
  <c r="J27"/>
  <c r="I27"/>
  <c r="H27"/>
  <c r="G27"/>
  <c r="Q26"/>
  <c r="N26"/>
  <c r="M26"/>
  <c r="L26"/>
  <c r="T26"/>
  <c r="S26"/>
  <c r="R26"/>
  <c r="P26"/>
  <c r="O26"/>
  <c r="K26"/>
  <c r="J26"/>
  <c r="I26"/>
  <c r="H26"/>
  <c r="G26"/>
  <c r="Q25"/>
  <c r="N25"/>
  <c r="M25"/>
  <c r="L25"/>
  <c r="T25"/>
  <c r="S25"/>
  <c r="R25"/>
  <c r="P25"/>
  <c r="O25"/>
  <c r="K25"/>
  <c r="J25"/>
  <c r="I25"/>
  <c r="H25"/>
  <c r="G25"/>
  <c r="Q24"/>
  <c r="N24"/>
  <c r="M24"/>
  <c r="L24"/>
  <c r="T24"/>
  <c r="S24"/>
  <c r="R24"/>
  <c r="P24"/>
  <c r="O24"/>
  <c r="K24"/>
  <c r="J24"/>
  <c r="I24"/>
  <c r="H24"/>
  <c r="G24"/>
  <c r="Q23"/>
  <c r="N23"/>
  <c r="M23"/>
  <c r="L23"/>
  <c r="T23"/>
  <c r="S23"/>
  <c r="R23"/>
  <c r="P23"/>
  <c r="O23"/>
  <c r="K23"/>
  <c r="J23"/>
  <c r="I23"/>
  <c r="H23"/>
  <c r="G23"/>
  <c r="Q22"/>
  <c r="N22"/>
  <c r="M22"/>
  <c r="L22"/>
  <c r="T22"/>
  <c r="S22"/>
  <c r="R22"/>
  <c r="P22"/>
  <c r="O22"/>
  <c r="K22"/>
  <c r="J22"/>
  <c r="I22"/>
  <c r="H22"/>
  <c r="G22"/>
  <c r="Q21"/>
  <c r="N21"/>
  <c r="M21"/>
  <c r="L21"/>
  <c r="T21"/>
  <c r="S21"/>
  <c r="R21"/>
  <c r="P21"/>
  <c r="O21"/>
  <c r="K21"/>
  <c r="J21"/>
  <c r="I21"/>
  <c r="H21"/>
  <c r="G21"/>
  <c r="F28"/>
  <c r="F26"/>
  <c r="F24"/>
  <c r="F22"/>
  <c r="F59"/>
  <c r="F57"/>
  <c r="F55"/>
  <c r="F53"/>
  <c r="F51"/>
  <c r="F49"/>
  <c r="F43"/>
  <c r="F39"/>
  <c r="F35"/>
  <c r="F31"/>
  <c r="Q48"/>
  <c r="N48"/>
  <c r="M48"/>
  <c r="L48"/>
  <c r="T48"/>
  <c r="S48"/>
  <c r="R48"/>
  <c r="P48"/>
  <c r="O48"/>
  <c r="K48"/>
  <c r="J48"/>
  <c r="I48"/>
  <c r="H48"/>
  <c r="G48"/>
  <c r="Q47"/>
  <c r="N47"/>
  <c r="M47"/>
  <c r="L47"/>
  <c r="T47"/>
  <c r="R47"/>
  <c r="P47"/>
  <c r="O47"/>
  <c r="K47"/>
  <c r="J47"/>
  <c r="I47"/>
  <c r="H47"/>
  <c r="G47"/>
  <c r="S47"/>
  <c r="Q46"/>
  <c r="N46"/>
  <c r="M46"/>
  <c r="L46"/>
  <c r="T46"/>
  <c r="S46"/>
  <c r="R46"/>
  <c r="P46"/>
  <c r="O46"/>
  <c r="K46"/>
  <c r="J46"/>
  <c r="I46"/>
  <c r="H46"/>
  <c r="G46"/>
  <c r="Q44"/>
  <c r="N44"/>
  <c r="M44"/>
  <c r="L44"/>
  <c r="T44"/>
  <c r="S44"/>
  <c r="R44"/>
  <c r="P44"/>
  <c r="O44"/>
  <c r="K44"/>
  <c r="J44"/>
  <c r="I44"/>
  <c r="H44"/>
  <c r="G44"/>
  <c r="Q41"/>
  <c r="N41"/>
  <c r="M41"/>
  <c r="L41"/>
  <c r="T41"/>
  <c r="R41"/>
  <c r="P41"/>
  <c r="O41"/>
  <c r="K41"/>
  <c r="J41"/>
  <c r="I41"/>
  <c r="H41"/>
  <c r="G41"/>
  <c r="S41"/>
  <c r="Q40"/>
  <c r="N40"/>
  <c r="M40"/>
  <c r="L40"/>
  <c r="T40"/>
  <c r="S40"/>
  <c r="R40"/>
  <c r="P40"/>
  <c r="O40"/>
  <c r="K40"/>
  <c r="J40"/>
  <c r="I40"/>
  <c r="H40"/>
  <c r="G40"/>
  <c r="Q37"/>
  <c r="N37"/>
  <c r="M37"/>
  <c r="L37"/>
  <c r="T37"/>
  <c r="S37"/>
  <c r="R37"/>
  <c r="P37"/>
  <c r="O37"/>
  <c r="K37"/>
  <c r="J37"/>
  <c r="I37"/>
  <c r="H37"/>
  <c r="G37"/>
  <c r="Q36"/>
  <c r="N36"/>
  <c r="M36"/>
  <c r="L36"/>
  <c r="T36"/>
  <c r="S36"/>
  <c r="R36"/>
  <c r="P36"/>
  <c r="O36"/>
  <c r="K36"/>
  <c r="J36"/>
  <c r="I36"/>
  <c r="H36"/>
  <c r="G36"/>
  <c r="Q33"/>
  <c r="N33"/>
  <c r="M33"/>
  <c r="L33"/>
  <c r="T33"/>
  <c r="S33"/>
  <c r="R33"/>
  <c r="P33"/>
  <c r="O33"/>
  <c r="K33"/>
  <c r="J33"/>
  <c r="I33"/>
  <c r="H33"/>
  <c r="G33"/>
  <c r="Q32"/>
  <c r="N32"/>
  <c r="M32"/>
  <c r="L32"/>
  <c r="T32"/>
  <c r="S32"/>
  <c r="R32"/>
  <c r="P32"/>
  <c r="O32"/>
  <c r="K32"/>
  <c r="J32"/>
  <c r="I32"/>
  <c r="H32"/>
  <c r="G32"/>
  <c r="M20"/>
  <c r="K20"/>
  <c r="F29"/>
  <c r="F27"/>
  <c r="AB27" s="1"/>
  <c r="AC27" s="1"/>
  <c r="F25"/>
  <c r="AB25" s="1"/>
  <c r="AC25" s="1"/>
  <c r="F23"/>
  <c r="F21"/>
  <c r="F58"/>
  <c r="F56"/>
  <c r="F54"/>
  <c r="F52"/>
  <c r="F50"/>
  <c r="F48"/>
  <c r="F46"/>
  <c r="F44"/>
  <c r="F42"/>
  <c r="F40"/>
  <c r="F38"/>
  <c r="F36"/>
  <c r="F34"/>
  <c r="F32"/>
  <c r="F30"/>
  <c r="G59"/>
  <c r="AB28"/>
  <c r="AC28" s="1"/>
  <c r="AB24"/>
  <c r="AC24" s="1"/>
  <c r="AB23"/>
  <c r="AC23" s="1"/>
  <c r="AB21"/>
  <c r="H29"/>
  <c r="J29"/>
  <c r="O29"/>
  <c r="R29"/>
  <c r="T29"/>
  <c r="M29"/>
  <c r="Q29"/>
  <c r="V29"/>
  <c r="W29"/>
  <c r="X29"/>
  <c r="W25"/>
  <c r="V25"/>
  <c r="X25"/>
  <c r="AC21"/>
  <c r="B8" i="18"/>
  <c r="AC8" i="3"/>
  <c r="X22"/>
  <c r="AK21" i="2"/>
  <c r="Y21" i="3"/>
  <c r="V27"/>
  <c r="V24"/>
  <c r="V22"/>
  <c r="W28"/>
  <c r="W26"/>
  <c r="W23"/>
  <c r="W21"/>
  <c r="X27"/>
  <c r="X24"/>
  <c r="X21"/>
  <c r="Y28"/>
  <c r="Y26"/>
  <c r="Y24"/>
  <c r="Y22"/>
  <c r="AB26"/>
  <c r="AC26" s="1"/>
  <c r="V28"/>
  <c r="V26"/>
  <c r="V23"/>
  <c r="V21"/>
  <c r="U21"/>
  <c r="W27"/>
  <c r="W22"/>
  <c r="X26"/>
  <c r="X23"/>
  <c r="Z21"/>
  <c r="AD21"/>
  <c r="AE21"/>
  <c r="AF7"/>
  <c r="AF8"/>
  <c r="AF21"/>
  <c r="AA21"/>
  <c r="C5" i="27"/>
  <c r="G5" i="19"/>
  <c r="G20" i="3"/>
  <c r="Q20"/>
  <c r="Y20"/>
  <c r="P20"/>
  <c r="N20"/>
  <c r="W20"/>
  <c r="I20"/>
  <c r="R20"/>
  <c r="X20"/>
  <c r="V20"/>
  <c r="U20" s="1"/>
  <c r="J20"/>
  <c r="T20"/>
  <c r="S20"/>
  <c r="F20"/>
  <c r="H20"/>
  <c r="O20"/>
  <c r="L20"/>
  <c r="AD20" s="1"/>
  <c r="AE20" s="1"/>
  <c r="AK44" i="2" l="1"/>
  <c r="AK40"/>
  <c r="AK36"/>
  <c r="AK32"/>
  <c r="AK28"/>
  <c r="AK24"/>
  <c r="Y58" i="3"/>
  <c r="Y56"/>
  <c r="Y54"/>
  <c r="Y52"/>
  <c r="Y50"/>
  <c r="U47"/>
  <c r="Z59"/>
  <c r="AA58"/>
  <c r="AA56"/>
  <c r="AA54"/>
  <c r="AA52"/>
  <c r="AA50"/>
  <c r="AA48"/>
  <c r="AB59"/>
  <c r="AB57"/>
  <c r="AB55"/>
  <c r="AB53"/>
  <c r="AB51"/>
  <c r="AB49"/>
  <c r="AB47"/>
  <c r="AC58"/>
  <c r="AC56"/>
  <c r="AC54"/>
  <c r="AC52"/>
  <c r="AC50"/>
  <c r="AC48"/>
  <c r="AD59"/>
  <c r="AD57"/>
  <c r="AD55"/>
  <c r="AD53"/>
  <c r="AD51"/>
  <c r="AD49"/>
  <c r="AD47"/>
  <c r="AE58"/>
  <c r="AE56"/>
  <c r="AE54"/>
  <c r="AE52"/>
  <c r="AE50"/>
  <c r="AE48"/>
  <c r="V59"/>
  <c r="V57"/>
  <c r="V55"/>
  <c r="V53"/>
  <c r="V51"/>
  <c r="V49"/>
  <c r="V47"/>
  <c r="W58"/>
  <c r="W56"/>
  <c r="W54"/>
  <c r="W52"/>
  <c r="W50"/>
  <c r="W48"/>
  <c r="Z58"/>
  <c r="Z56"/>
  <c r="Z54"/>
  <c r="Z52"/>
  <c r="Z50"/>
  <c r="Z48"/>
  <c r="X59"/>
  <c r="X57"/>
  <c r="X55"/>
  <c r="X53"/>
  <c r="X51"/>
  <c r="X49"/>
  <c r="X47"/>
  <c r="AF58"/>
  <c r="AF56"/>
  <c r="AF54"/>
  <c r="AF52"/>
  <c r="AF50"/>
  <c r="AF48"/>
  <c r="Y59"/>
  <c r="Y57"/>
  <c r="Y55"/>
  <c r="Y53"/>
  <c r="Y51"/>
  <c r="Y49"/>
  <c r="Y47"/>
  <c r="U58"/>
  <c r="U56"/>
  <c r="U54"/>
  <c r="U52"/>
  <c r="U50"/>
  <c r="U48"/>
  <c r="U59"/>
  <c r="AA59"/>
  <c r="AA57"/>
  <c r="AA55"/>
  <c r="AA53"/>
  <c r="AA51"/>
  <c r="AA49"/>
  <c r="AA47"/>
  <c r="AB58"/>
  <c r="AB56"/>
  <c r="AB54"/>
  <c r="AB52"/>
  <c r="AB50"/>
  <c r="AB48"/>
  <c r="AC59"/>
  <c r="AC57"/>
  <c r="AC55"/>
  <c r="AC53"/>
  <c r="AC51"/>
  <c r="AC49"/>
  <c r="AC47"/>
  <c r="AE59"/>
  <c r="AE57"/>
  <c r="AE55"/>
  <c r="AE53"/>
  <c r="AE51"/>
  <c r="AE49"/>
  <c r="AE47"/>
  <c r="V58"/>
  <c r="V56"/>
  <c r="V54"/>
  <c r="V52"/>
  <c r="V50"/>
  <c r="V48"/>
  <c r="W57"/>
  <c r="W55"/>
  <c r="W53"/>
  <c r="W51"/>
  <c r="W49"/>
  <c r="W47"/>
  <c r="Z57"/>
  <c r="Z55"/>
  <c r="Z53"/>
  <c r="Z51"/>
  <c r="Z49"/>
  <c r="Z47"/>
  <c r="X58"/>
  <c r="X56"/>
  <c r="X54"/>
  <c r="X52"/>
  <c r="X50"/>
  <c r="X48"/>
  <c r="U29"/>
  <c r="AB29"/>
  <c r="AC29" s="1"/>
  <c r="U28"/>
  <c r="U27"/>
  <c r="U26"/>
  <c r="Z26" s="1"/>
  <c r="U25"/>
  <c r="U23"/>
  <c r="U22"/>
  <c r="AD22" s="1"/>
  <c r="AE22" s="1"/>
  <c r="Z22"/>
  <c r="AA22" s="1"/>
  <c r="AB22"/>
  <c r="AC22" s="1"/>
  <c r="AF22"/>
  <c r="AB46"/>
  <c r="AC46" s="1"/>
  <c r="V46"/>
  <c r="W46"/>
  <c r="X46"/>
  <c r="Y46"/>
  <c r="D45"/>
  <c r="V45" s="1"/>
  <c r="AB44"/>
  <c r="AC44" s="1"/>
  <c r="V44"/>
  <c r="W44"/>
  <c r="X44"/>
  <c r="Y44"/>
  <c r="AB43"/>
  <c r="V43"/>
  <c r="X43"/>
  <c r="Y43"/>
  <c r="AC43"/>
  <c r="W43"/>
  <c r="AB42"/>
  <c r="AC42" s="1"/>
  <c r="V42"/>
  <c r="W42"/>
  <c r="X42"/>
  <c r="Y42"/>
  <c r="AB41"/>
  <c r="V41"/>
  <c r="X41"/>
  <c r="Y41"/>
  <c r="AC41"/>
  <c r="W41"/>
  <c r="AB40"/>
  <c r="AC40" s="1"/>
  <c r="V40"/>
  <c r="W40"/>
  <c r="X40"/>
  <c r="Y40"/>
  <c r="AB39"/>
  <c r="V39"/>
  <c r="X39"/>
  <c r="Y39"/>
  <c r="AC39"/>
  <c r="W39"/>
  <c r="AB38"/>
  <c r="AC38" s="1"/>
  <c r="V38"/>
  <c r="W38"/>
  <c r="X38"/>
  <c r="Y38"/>
  <c r="AB37"/>
  <c r="V37"/>
  <c r="X37"/>
  <c r="Y37"/>
  <c r="AC37"/>
  <c r="W37"/>
  <c r="AB36"/>
  <c r="AC36" s="1"/>
  <c r="V36"/>
  <c r="W36"/>
  <c r="X36"/>
  <c r="Y36"/>
  <c r="AB35"/>
  <c r="V35"/>
  <c r="X35"/>
  <c r="Y35"/>
  <c r="AC35"/>
  <c r="W35"/>
  <c r="AB34"/>
  <c r="AC34" s="1"/>
  <c r="V34"/>
  <c r="W34"/>
  <c r="X34"/>
  <c r="Y34"/>
  <c r="AD33"/>
  <c r="Z33"/>
  <c r="AB33"/>
  <c r="U33"/>
  <c r="V33"/>
  <c r="X33"/>
  <c r="Y33"/>
  <c r="AA33"/>
  <c r="AC33"/>
  <c r="AE33"/>
  <c r="W33"/>
  <c r="AB32"/>
  <c r="AC32" s="1"/>
  <c r="V32"/>
  <c r="W32"/>
  <c r="X32"/>
  <c r="Y32"/>
  <c r="AB31"/>
  <c r="V31"/>
  <c r="X31"/>
  <c r="Y31"/>
  <c r="AC31"/>
  <c r="W31"/>
  <c r="AB30"/>
  <c r="AC30" s="1"/>
  <c r="V30"/>
  <c r="W30"/>
  <c r="X30"/>
  <c r="Y30"/>
  <c r="AD29"/>
  <c r="AE29" s="1"/>
  <c r="Z29"/>
  <c r="AK29" i="2"/>
  <c r="X28" i="3"/>
  <c r="Y27"/>
  <c r="Z27" s="1"/>
  <c r="AA26"/>
  <c r="AF26"/>
  <c r="AD26"/>
  <c r="AE26" s="1"/>
  <c r="AK25" i="2"/>
  <c r="Y25" i="3"/>
  <c r="Z25" s="1"/>
  <c r="W24"/>
  <c r="U24" s="1"/>
  <c r="AK23" i="2"/>
  <c r="Y23" i="3"/>
  <c r="S19" i="1"/>
  <c r="S1" s="1"/>
  <c r="Z20" i="3"/>
  <c r="AB20"/>
  <c r="X45" l="1"/>
  <c r="X18" s="1"/>
  <c r="U46"/>
  <c r="U44"/>
  <c r="U43"/>
  <c r="U42"/>
  <c r="U41"/>
  <c r="U40"/>
  <c r="U39"/>
  <c r="U38"/>
  <c r="U37"/>
  <c r="U36"/>
  <c r="U35"/>
  <c r="U34"/>
  <c r="U32"/>
  <c r="U31"/>
  <c r="U30"/>
  <c r="X19"/>
  <c r="J22" i="9" s="1"/>
  <c r="K22" s="1"/>
  <c r="AK19" i="2"/>
  <c r="AK1" s="1"/>
  <c r="AD46" i="3"/>
  <c r="AE46" s="1"/>
  <c r="Z46"/>
  <c r="W45"/>
  <c r="U45" s="1"/>
  <c r="Y45"/>
  <c r="Y19" s="1"/>
  <c r="N45"/>
  <c r="L45"/>
  <c r="R45"/>
  <c r="O45"/>
  <c r="J45"/>
  <c r="H45"/>
  <c r="S45"/>
  <c r="F45"/>
  <c r="Q45"/>
  <c r="M45"/>
  <c r="T45"/>
  <c r="P45"/>
  <c r="K45"/>
  <c r="I45"/>
  <c r="G45"/>
  <c r="AD44"/>
  <c r="AE44" s="1"/>
  <c r="Z44"/>
  <c r="AD43"/>
  <c r="AE43" s="1"/>
  <c r="Z43"/>
  <c r="AD42"/>
  <c r="AE42" s="1"/>
  <c r="Z42"/>
  <c r="AD41"/>
  <c r="AE41" s="1"/>
  <c r="Z41"/>
  <c r="AD40"/>
  <c r="AE40" s="1"/>
  <c r="Z40"/>
  <c r="AD39"/>
  <c r="AE39" s="1"/>
  <c r="Z39"/>
  <c r="AD38"/>
  <c r="AE38" s="1"/>
  <c r="Z38"/>
  <c r="AD37"/>
  <c r="AE37" s="1"/>
  <c r="Z37"/>
  <c r="AD36"/>
  <c r="AE36" s="1"/>
  <c r="Z36"/>
  <c r="AD35"/>
  <c r="AE35" s="1"/>
  <c r="Z35"/>
  <c r="AD34"/>
  <c r="AE34" s="1"/>
  <c r="Z34"/>
  <c r="AD32"/>
  <c r="AE32" s="1"/>
  <c r="Z32"/>
  <c r="AD31"/>
  <c r="AE31" s="1"/>
  <c r="Z31"/>
  <c r="AD30"/>
  <c r="AE30" s="1"/>
  <c r="Z30"/>
  <c r="AF29"/>
  <c r="AA29"/>
  <c r="Z28"/>
  <c r="X16"/>
  <c r="F22" i="9" s="1"/>
  <c r="G22" s="1"/>
  <c r="S7" i="25" s="1"/>
  <c r="AD28" i="3"/>
  <c r="AE28" s="1"/>
  <c r="A5" i="1"/>
  <c r="X17" i="3"/>
  <c r="AF27"/>
  <c r="AA27"/>
  <c r="AD27"/>
  <c r="AE27" s="1"/>
  <c r="Y17"/>
  <c r="AA25"/>
  <c r="AF25"/>
  <c r="AD25"/>
  <c r="AE25" s="1"/>
  <c r="AD24"/>
  <c r="AE24" s="1"/>
  <c r="Z24"/>
  <c r="Z23"/>
  <c r="Y18"/>
  <c r="H23" i="9" s="1"/>
  <c r="I23" s="1"/>
  <c r="Y16" i="3"/>
  <c r="F23" i="9" s="1"/>
  <c r="G23" s="1"/>
  <c r="T7" i="25" s="1"/>
  <c r="AD23" i="3"/>
  <c r="AE23" s="1"/>
  <c r="J13" i="19"/>
  <c r="K13" s="1"/>
  <c r="J23" i="9"/>
  <c r="K23" s="1"/>
  <c r="AF20" i="3"/>
  <c r="AA20"/>
  <c r="AC20"/>
  <c r="H22" i="9" l="1"/>
  <c r="I22" s="1"/>
  <c r="H12" i="19"/>
  <c r="I12" s="1"/>
  <c r="D12"/>
  <c r="E12" s="1"/>
  <c r="J12"/>
  <c r="K12" s="1"/>
  <c r="H13"/>
  <c r="I13" s="1"/>
  <c r="AA46" i="3"/>
  <c r="AF46"/>
  <c r="D13" i="19"/>
  <c r="E13" s="1"/>
  <c r="U16" i="3"/>
  <c r="U18"/>
  <c r="U17"/>
  <c r="U19"/>
  <c r="G16"/>
  <c r="G18"/>
  <c r="H7" i="9" s="1"/>
  <c r="I7" s="1"/>
  <c r="G17" i="3"/>
  <c r="F7" i="9" s="1"/>
  <c r="G19" i="3"/>
  <c r="J7" i="9" s="1"/>
  <c r="K7" s="1"/>
  <c r="K18" i="3"/>
  <c r="H11" i="9" s="1"/>
  <c r="I11" s="1"/>
  <c r="K16" i="3"/>
  <c r="K19"/>
  <c r="J11" i="9" s="1"/>
  <c r="K11" s="1"/>
  <c r="K17" i="3"/>
  <c r="F11" i="9" s="1"/>
  <c r="T16" i="3"/>
  <c r="T17"/>
  <c r="F20" i="9" s="1"/>
  <c r="G20" s="1"/>
  <c r="Q7" i="25" s="1"/>
  <c r="T18" i="3"/>
  <c r="H20" i="9" s="1"/>
  <c r="I20" s="1"/>
  <c r="T19" i="3"/>
  <c r="J20" i="9" s="1"/>
  <c r="K20" s="1"/>
  <c r="Q18" i="3"/>
  <c r="Q16"/>
  <c r="Q19"/>
  <c r="Q17"/>
  <c r="S16"/>
  <c r="S19"/>
  <c r="S18"/>
  <c r="S17"/>
  <c r="J19"/>
  <c r="J10" i="9" s="1"/>
  <c r="K10" s="1"/>
  <c r="J18" i="3"/>
  <c r="H10" i="9" s="1"/>
  <c r="I10" s="1"/>
  <c r="J16" i="3"/>
  <c r="J17"/>
  <c r="F10" i="9" s="1"/>
  <c r="R17" i="3"/>
  <c r="F18" i="9" s="1"/>
  <c r="G18" s="1"/>
  <c r="O7" i="25" s="1"/>
  <c r="R18" i="3"/>
  <c r="H18" i="9" s="1"/>
  <c r="I18" s="1"/>
  <c r="R19" i="3"/>
  <c r="J18" i="9" s="1"/>
  <c r="K18" s="1"/>
  <c r="R16" i="3"/>
  <c r="N18"/>
  <c r="N16"/>
  <c r="N17"/>
  <c r="N19"/>
  <c r="I19"/>
  <c r="J9" i="9" s="1"/>
  <c r="K9" s="1"/>
  <c r="I17" i="3"/>
  <c r="F9" i="9" s="1"/>
  <c r="I16" i="3"/>
  <c r="I18"/>
  <c r="H9" i="9" s="1"/>
  <c r="I9" s="1"/>
  <c r="P16" i="3"/>
  <c r="P19"/>
  <c r="J16" i="9" s="1"/>
  <c r="K16" s="1"/>
  <c r="P17" i="3"/>
  <c r="F16" i="9" s="1"/>
  <c r="P18" i="3"/>
  <c r="H16" i="9" s="1"/>
  <c r="I16" s="1"/>
  <c r="M19" i="3"/>
  <c r="M17"/>
  <c r="M16"/>
  <c r="M18"/>
  <c r="F19"/>
  <c r="F18"/>
  <c r="F16"/>
  <c r="F17"/>
  <c r="Z45"/>
  <c r="AB45"/>
  <c r="H18"/>
  <c r="H8" i="9" s="1"/>
  <c r="I8" s="1"/>
  <c r="H16" i="3"/>
  <c r="H17"/>
  <c r="F8" i="9" s="1"/>
  <c r="H19" i="3"/>
  <c r="J8" i="9" s="1"/>
  <c r="K8" s="1"/>
  <c r="O18" i="3"/>
  <c r="O17"/>
  <c r="O16"/>
  <c r="O19"/>
  <c r="L19"/>
  <c r="L18"/>
  <c r="L16"/>
  <c r="L17"/>
  <c r="AD45"/>
  <c r="AE45" s="1"/>
  <c r="AA44"/>
  <c r="AF44"/>
  <c r="AF43"/>
  <c r="AA43"/>
  <c r="AA42"/>
  <c r="AF42"/>
  <c r="AF41"/>
  <c r="AA41"/>
  <c r="AA40"/>
  <c r="AF40"/>
  <c r="AF39"/>
  <c r="AA39"/>
  <c r="AA38"/>
  <c r="AF38"/>
  <c r="AF37"/>
  <c r="AA37"/>
  <c r="AA36"/>
  <c r="AF36"/>
  <c r="AF35"/>
  <c r="AA35"/>
  <c r="AA34"/>
  <c r="AF34"/>
  <c r="AA32"/>
  <c r="AF32"/>
  <c r="AF31"/>
  <c r="AA31"/>
  <c r="AA30"/>
  <c r="AF30"/>
  <c r="AA28"/>
  <c r="AF28"/>
  <c r="AF24"/>
  <c r="AA24"/>
  <c r="AA23"/>
  <c r="AF23"/>
  <c r="F12" i="9" l="1"/>
  <c r="D7" i="19"/>
  <c r="E7" s="1"/>
  <c r="I10" i="27"/>
  <c r="J10" s="1"/>
  <c r="J7" i="19"/>
  <c r="K7" s="1"/>
  <c r="J12" i="9"/>
  <c r="K12" s="1"/>
  <c r="O10" i="27"/>
  <c r="P10" s="1"/>
  <c r="H15" i="9"/>
  <c r="I15" s="1"/>
  <c r="F11" i="27"/>
  <c r="G8" i="9"/>
  <c r="E7" i="25" s="1"/>
  <c r="D5" i="26"/>
  <c r="D6" s="1"/>
  <c r="AA45" i="3"/>
  <c r="AF45"/>
  <c r="C6" i="17"/>
  <c r="E6"/>
  <c r="D6"/>
  <c r="Z19" i="3"/>
  <c r="J6" i="9"/>
  <c r="K6" s="1"/>
  <c r="G10" i="27"/>
  <c r="D8" i="19"/>
  <c r="E8" s="1"/>
  <c r="F13" i="9"/>
  <c r="J8" i="19"/>
  <c r="K8" s="1"/>
  <c r="J13" i="9"/>
  <c r="K13" s="1"/>
  <c r="L5" i="26"/>
  <c r="L6" s="1"/>
  <c r="G16" i="9"/>
  <c r="M7" i="25" s="1"/>
  <c r="H9" i="19"/>
  <c r="I9" s="1"/>
  <c r="H14" i="9"/>
  <c r="I14" s="1"/>
  <c r="H19"/>
  <c r="I19" s="1"/>
  <c r="F12" i="27"/>
  <c r="J10" i="19"/>
  <c r="K10" s="1"/>
  <c r="J17" i="9"/>
  <c r="K17" s="1"/>
  <c r="O11" i="27"/>
  <c r="P11" s="1"/>
  <c r="H10" i="19"/>
  <c r="I10" s="1"/>
  <c r="H17" i="9"/>
  <c r="I17" s="1"/>
  <c r="M11" i="27"/>
  <c r="N11" s="1"/>
  <c r="G7" i="9"/>
  <c r="D7" i="25" s="1"/>
  <c r="C5" i="26"/>
  <c r="C6" s="1"/>
  <c r="K12" i="27"/>
  <c r="L12" s="1"/>
  <c r="F11" i="19"/>
  <c r="G11" s="1"/>
  <c r="I12" i="27"/>
  <c r="J12" s="1"/>
  <c r="D11" i="19"/>
  <c r="E11" s="1"/>
  <c r="F21" i="9"/>
  <c r="G21" s="1"/>
  <c r="R7" i="25" s="1"/>
  <c r="H7" i="19"/>
  <c r="I7" s="1"/>
  <c r="M10" i="27"/>
  <c r="N10" s="1"/>
  <c r="H12" i="9"/>
  <c r="I12" s="1"/>
  <c r="J15"/>
  <c r="K15" s="1"/>
  <c r="G11" i="27"/>
  <c r="F15" i="9"/>
  <c r="D11" i="27"/>
  <c r="E11" s="1"/>
  <c r="AB19" i="3"/>
  <c r="AC45"/>
  <c r="F6" i="9"/>
  <c r="D10" i="27"/>
  <c r="E10" s="1"/>
  <c r="H6" i="9"/>
  <c r="I6" s="1"/>
  <c r="F10" i="27"/>
  <c r="H13" i="9"/>
  <c r="I13" s="1"/>
  <c r="H8" i="19"/>
  <c r="I8" s="1"/>
  <c r="G9" i="9"/>
  <c r="F7" i="25" s="1"/>
  <c r="E5" i="26"/>
  <c r="E6" s="1"/>
  <c r="J9" i="19"/>
  <c r="K9" s="1"/>
  <c r="J14" i="9"/>
  <c r="K14" s="1"/>
  <c r="D9" i="19"/>
  <c r="E9" s="1"/>
  <c r="F14" i="9"/>
  <c r="F5" i="26"/>
  <c r="F6" s="1"/>
  <c r="G10" i="9"/>
  <c r="G7" i="25" s="1"/>
  <c r="F19" i="9"/>
  <c r="G19" s="1"/>
  <c r="P7" i="25" s="1"/>
  <c r="D12" i="27"/>
  <c r="E12" s="1"/>
  <c r="J19" i="9"/>
  <c r="K19" s="1"/>
  <c r="G12" i="27"/>
  <c r="I11"/>
  <c r="J11" s="1"/>
  <c r="F17" i="9"/>
  <c r="G17" s="1"/>
  <c r="N7" i="25" s="1"/>
  <c r="D10" i="19"/>
  <c r="E10" s="1"/>
  <c r="G11" i="9"/>
  <c r="H7" i="25" s="1"/>
  <c r="G5" i="26"/>
  <c r="G6" s="1"/>
  <c r="O12" i="27"/>
  <c r="P12" s="1"/>
  <c r="J11" i="19"/>
  <c r="K11" s="1"/>
  <c r="J21" i="9"/>
  <c r="K21" s="1"/>
  <c r="H11" i="19"/>
  <c r="I11" s="1"/>
  <c r="H21" i="9"/>
  <c r="I21" s="1"/>
  <c r="M12" i="27"/>
  <c r="N12" s="1"/>
  <c r="B5" i="26" l="1"/>
  <c r="B6" s="1"/>
  <c r="G6" i="9"/>
  <c r="C7" i="25" s="1"/>
  <c r="AC19" i="3"/>
  <c r="AB18"/>
  <c r="D5" i="22" s="1"/>
  <c r="K5" i="26"/>
  <c r="K6" s="1"/>
  <c r="G15" i="9"/>
  <c r="L7" i="25" s="1"/>
  <c r="H5" i="26"/>
  <c r="H6" s="1"/>
  <c r="G12" i="9"/>
  <c r="I7" i="25" s="1"/>
  <c r="J5" i="26"/>
  <c r="J6" s="1"/>
  <c r="G14" i="9"/>
  <c r="K7" i="25" s="1"/>
  <c r="G13" i="9"/>
  <c r="J7" i="25" s="1"/>
  <c r="I5" i="26"/>
  <c r="I6" s="1"/>
  <c r="Z18" i="3"/>
  <c r="AA19"/>
  <c r="AF17"/>
  <c r="G8" i="18" s="1"/>
  <c r="H8" s="1"/>
  <c r="AF18" i="3"/>
  <c r="E8" i="18" s="1"/>
  <c r="F8" s="1"/>
  <c r="AF19" i="3"/>
  <c r="C8" i="18" s="1"/>
  <c r="D8" s="1"/>
  <c r="AF16" i="3"/>
  <c r="I8" i="18" s="1"/>
  <c r="J8" s="1"/>
  <c r="AF15" i="3"/>
  <c r="K8" i="18" s="1"/>
  <c r="L8" s="1"/>
  <c r="AI50" i="3" l="1"/>
  <c r="AI36"/>
  <c r="AI35"/>
  <c r="AI58"/>
  <c r="AG47"/>
  <c r="AG34"/>
  <c r="AG50"/>
  <c r="AG36"/>
  <c r="AG58"/>
  <c r="AG29"/>
  <c r="AI55"/>
  <c r="AI22"/>
  <c r="AI31"/>
  <c r="AI38"/>
  <c r="AG43"/>
  <c r="AI45"/>
  <c r="AI57"/>
  <c r="AI20"/>
  <c r="AI30"/>
  <c r="AI24"/>
  <c r="AG25"/>
  <c r="AG38"/>
  <c r="AI52"/>
  <c r="AI42"/>
  <c r="AG59"/>
  <c r="AG51"/>
  <c r="AG55"/>
  <c r="AI37"/>
  <c r="AG41"/>
  <c r="AI44"/>
  <c r="AI39"/>
  <c r="AI29"/>
  <c r="AI32"/>
  <c r="AG28"/>
  <c r="AI46"/>
  <c r="AI40"/>
  <c r="AG26"/>
  <c r="AI56"/>
  <c r="AG46"/>
  <c r="AG21"/>
  <c r="AI51"/>
  <c r="AG54"/>
  <c r="AG22"/>
  <c r="AI48"/>
  <c r="AG27"/>
  <c r="AG45"/>
  <c r="AG52"/>
  <c r="AG20"/>
  <c r="AG32"/>
  <c r="AI49"/>
  <c r="AG37"/>
  <c r="AG57"/>
  <c r="AI26"/>
  <c r="AI23"/>
  <c r="AG35"/>
  <c r="AG56"/>
  <c r="AG24"/>
  <c r="AG39"/>
  <c r="AI33"/>
  <c r="AG30"/>
  <c r="AI47"/>
  <c r="AG49"/>
  <c r="AI41"/>
  <c r="AI21"/>
  <c r="AG31"/>
  <c r="AI43"/>
  <c r="AG33"/>
  <c r="AG40"/>
  <c r="AI25"/>
  <c r="AI59"/>
  <c r="AG23"/>
  <c r="AG53"/>
  <c r="AI54"/>
  <c r="AI27"/>
  <c r="AG48"/>
  <c r="AI53"/>
  <c r="AG42"/>
  <c r="AI28"/>
  <c r="AG44"/>
  <c r="AI34"/>
  <c r="AJ54"/>
  <c r="AJ58"/>
  <c r="AJ32"/>
  <c r="AJ23"/>
  <c r="AJ38"/>
  <c r="AJ40"/>
  <c r="AJ24"/>
  <c r="AJ36"/>
  <c r="AJ50"/>
  <c r="AJ47"/>
  <c r="AJ52"/>
  <c r="AJ53"/>
  <c r="AJ57"/>
  <c r="AJ27"/>
  <c r="AJ59"/>
  <c r="AJ26"/>
  <c r="AJ43"/>
  <c r="AJ25"/>
  <c r="AJ45"/>
  <c r="AJ28"/>
  <c r="AJ33"/>
  <c r="AJ51"/>
  <c r="E5" i="22"/>
  <c r="AJ44" i="3"/>
  <c r="AJ35"/>
  <c r="AJ37"/>
  <c r="AJ21"/>
  <c r="AJ48"/>
  <c r="AJ31"/>
  <c r="AJ29"/>
  <c r="AJ34"/>
  <c r="AJ56"/>
  <c r="AJ20"/>
  <c r="AJ41"/>
  <c r="AJ46"/>
  <c r="AJ55"/>
  <c r="AJ22"/>
  <c r="AJ30"/>
  <c r="AJ42"/>
  <c r="AJ39"/>
  <c r="AJ49"/>
  <c r="AH34"/>
  <c r="AH23"/>
  <c r="AH52"/>
  <c r="AH33"/>
  <c r="AH43"/>
  <c r="AH45"/>
  <c r="AH31"/>
  <c r="AH29"/>
  <c r="AH28"/>
  <c r="AH21"/>
  <c r="AH49"/>
  <c r="AH50"/>
  <c r="AH27"/>
  <c r="AH30"/>
  <c r="AH51"/>
  <c r="AH36"/>
  <c r="AH48"/>
  <c r="AH53"/>
  <c r="AH32"/>
  <c r="AH59"/>
  <c r="AH57"/>
  <c r="AH38"/>
  <c r="AH58"/>
  <c r="AH35"/>
  <c r="AH40"/>
  <c r="AH20"/>
  <c r="AH41"/>
  <c r="AH46"/>
  <c r="AH44"/>
  <c r="AH24"/>
  <c r="B6" i="17"/>
  <c r="AH54" i="3"/>
  <c r="AH37"/>
  <c r="AH42"/>
  <c r="AH25"/>
  <c r="AH39"/>
  <c r="AH22"/>
  <c r="AH56"/>
  <c r="AH47"/>
  <c r="AH26"/>
  <c r="AH55"/>
</calcChain>
</file>

<file path=xl/comments1.xml><?xml version="1.0" encoding="utf-8"?>
<comments xmlns="http://schemas.openxmlformats.org/spreadsheetml/2006/main">
  <authors>
    <author>РЦОКО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</text>
    </comment>
  </commentList>
</comments>
</file>

<file path=xl/comments2.xml><?xml version="1.0" encoding="utf-8"?>
<comments xmlns="http://schemas.openxmlformats.org/spreadsheetml/2006/main">
  <authors>
    <author>РЦОКО</author>
  </authors>
  <commentList>
    <comment ref="Z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Z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</commentList>
</comments>
</file>

<file path=xl/sharedStrings.xml><?xml version="1.0" encoding="utf-8"?>
<sst xmlns="http://schemas.openxmlformats.org/spreadsheetml/2006/main" count="442" uniqueCount="252">
  <si>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</si>
  <si>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</si>
  <si>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</si>
  <si>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</si>
  <si>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</si>
  <si>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</si>
  <si>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</si>
  <si>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</si>
  <si>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Код школы:</t>
  </si>
  <si>
    <t>Код класса:</t>
  </si>
  <si>
    <t>Дата рождения (мес/год)</t>
  </si>
  <si>
    <t>Пол (ж-1; м-2)</t>
  </si>
  <si>
    <t>Дата проведения:</t>
  </si>
  <si>
    <t>Данные для всех учащихся внесены</t>
  </si>
  <si>
    <t>№ учащегося</t>
  </si>
  <si>
    <t>№ по журналу</t>
  </si>
  <si>
    <t>ИТОГОВЫЙ БАЛЛ</t>
  </si>
  <si>
    <t>1010</t>
  </si>
  <si>
    <t>Процент от максимального балла за всю работу</t>
  </si>
  <si>
    <t>(7)</t>
  </si>
  <si>
    <t>Код учащегося</t>
  </si>
  <si>
    <t>ФИО</t>
  </si>
  <si>
    <t>Nуч</t>
  </si>
  <si>
    <t>Выполнение работы</t>
  </si>
  <si>
    <t>MA1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</si>
  <si>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</si>
  <si>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</si>
  <si>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</si>
  <si>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</si>
  <si>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</si>
  <si>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</si>
  <si>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</si>
  <si>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</si>
  <si>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</si>
  <si>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</si>
  <si>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</si>
  <si>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7. Отметьте номера вариантов и номера заданий, которые вызвали затруднения у учащихся:</t>
  </si>
  <si>
    <t>БОЛЬШОЕ СПАСИБО за ВАШУ РАБОТУ!</t>
  </si>
  <si>
    <t>Бунеев Р.Н. и др.</t>
  </si>
  <si>
    <t>Башмаков М.И. и др.</t>
  </si>
  <si>
    <t>гимназия</t>
  </si>
  <si>
    <t>Зеленина Л.М. и др.</t>
  </si>
  <si>
    <t>Ефросинина Л.А.</t>
  </si>
  <si>
    <t>Гейдман Б.П. и др.</t>
  </si>
  <si>
    <t>с углубленным изучением отдельных предметов</t>
  </si>
  <si>
    <t>Горецкий В.Г. и др.</t>
  </si>
  <si>
    <t>Иванов С.В. и др.</t>
  </si>
  <si>
    <t>Кац Э.Э.</t>
  </si>
  <si>
    <t>Давыдов В.В. и др.</t>
  </si>
  <si>
    <t>учебно-воспитательный комплекс</t>
  </si>
  <si>
    <t>Журова Л.Е. и др.</t>
  </si>
  <si>
    <t>Канапина В.П. и др.</t>
  </si>
  <si>
    <t>Климанова Л.Ф. и др.</t>
  </si>
  <si>
    <t>Демидова Т.Е. и др</t>
  </si>
  <si>
    <t>Другой</t>
  </si>
  <si>
    <t>Кубасов О.В.</t>
  </si>
  <si>
    <t>Ломакович С.В. и др.</t>
  </si>
  <si>
    <t>Кубасов О.В. (УМК "Гармония")</t>
  </si>
  <si>
    <t xml:space="preserve">Истомина Н.Б. </t>
  </si>
  <si>
    <t>Нечаева Н.В. и др.</t>
  </si>
  <si>
    <t>Полякова А.В.</t>
  </si>
  <si>
    <t>Кубасов О.В. (серия "Для сердца и ума")</t>
  </si>
  <si>
    <t>Моро М.И. и др.</t>
  </si>
  <si>
    <t>Репкин В.В. и др.</t>
  </si>
  <si>
    <t>Рамзаева Т.Г.</t>
  </si>
  <si>
    <t>Кудина Г.Н. и др.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</si>
  <si>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</si>
  <si>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</si>
  <si>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</si>
  <si>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</si>
  <si>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</si>
  <si>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</si>
  <si>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</si>
  <si>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</si>
  <si>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</si>
  <si>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7. Ваш возраст</t>
  </si>
  <si>
    <t>9. Ваш стаж</t>
  </si>
  <si>
    <t>СПИСОК КЛАССА</t>
  </si>
  <si>
    <t>8. Ваша категория</t>
  </si>
  <si>
    <t>Уровень сложности</t>
  </si>
  <si>
    <t>Выполнили верно</t>
  </si>
  <si>
    <t>Выполнили неверно</t>
  </si>
  <si>
    <t>чел.</t>
  </si>
  <si>
    <t>%</t>
  </si>
  <si>
    <t>Б</t>
  </si>
  <si>
    <t>№ задания</t>
  </si>
  <si>
    <t>Максимальный балл за выполнение</t>
  </si>
  <si>
    <t>П</t>
  </si>
  <si>
    <t>ОУ:</t>
  </si>
  <si>
    <t>ID класса:</t>
  </si>
  <si>
    <t>Не приступили к выполнению</t>
  </si>
  <si>
    <t>2 балла</t>
  </si>
  <si>
    <t>1 балл</t>
  </si>
  <si>
    <t>Успешность выполнения работы (средний % от максимального балла за всю работу)</t>
  </si>
  <si>
    <t>Класс</t>
  </si>
  <si>
    <t>Уровень достижений</t>
  </si>
  <si>
    <t>общеобразовательная</t>
  </si>
  <si>
    <t>лицей</t>
  </si>
  <si>
    <t>интернат</t>
  </si>
  <si>
    <t>Александрова Э.И. (Вита-пресс)</t>
  </si>
  <si>
    <t>Александрова Э.И. (Дрофа)</t>
  </si>
  <si>
    <t>Аргинская И.И., Ивановская Е.И., Кормишина С.Н. (Федоров)</t>
  </si>
  <si>
    <t>Башмаков М.И., Нефедова М.Г. (АСТ. Астрель)</t>
  </si>
  <si>
    <t>Гейдман Б.П., Мишарина И.Э., Зверева Е.А. (МЦНМО)</t>
  </si>
  <si>
    <t>Давыдов В.В., Горбов С.Ф., Микулина Г.Г. (Вита-пресс)</t>
  </si>
  <si>
    <t>Демидова Т.Е., Козлова С.А., Тонких А.П. (Баласс)</t>
  </si>
  <si>
    <t>Дорофеев Г.В., Миракова Т.Н. (Просвещение)</t>
  </si>
  <si>
    <t>Истомина Н.Б. (Ассоциация XXI век)</t>
  </si>
  <si>
    <t>Моро М.И., Бантова М.А., Бельтюкова Г.В. (Просвещение) и др.</t>
  </si>
  <si>
    <t>Петерсон Л.Г. (Ювента)</t>
  </si>
  <si>
    <t>Рудницкая В.Н., Юдачева Т.В. (ВЕНТАНА-ГРАФ)</t>
  </si>
  <si>
    <t>Чекин А.Л. (Академкнига/Учебник)</t>
  </si>
  <si>
    <t xml:space="preserve">Другой 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</si>
  <si>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</t>
    </r>
  </si>
  <si>
    <t>Количества участников</t>
  </si>
  <si>
    <t>Базовый</t>
  </si>
  <si>
    <t>Повышенный</t>
  </si>
  <si>
    <t>Высокий</t>
  </si>
  <si>
    <t>Низкий</t>
  </si>
  <si>
    <t>Процент участников, показавших уровень освоения учебного материала:</t>
  </si>
  <si>
    <t>Номер задания (БУ)</t>
  </si>
  <si>
    <t>Номер задания (ПУ)</t>
  </si>
  <si>
    <t>№ элемента</t>
  </si>
  <si>
    <t>0 баллов</t>
  </si>
  <si>
    <t>не приступали</t>
  </si>
  <si>
    <t>доля</t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</si>
  <si>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выполнение заданий повышенного уровня</t>
    </r>
  </si>
  <si>
    <r>
      <t xml:space="preserve">Процент выполнения </t>
    </r>
    <r>
      <rPr>
        <b/>
        <u/>
        <sz val="10"/>
        <rFont val="Cambria"/>
        <family val="1"/>
        <charset val="204"/>
      </rPr>
      <t>заданий</t>
    </r>
    <r>
      <rPr>
        <b/>
        <sz val="10"/>
        <rFont val="Cambria"/>
        <family val="1"/>
        <charset val="204"/>
      </rPr>
      <t xml:space="preserve"> базового уровня</t>
    </r>
  </si>
  <si>
    <t>Выполняло работу:</t>
  </si>
  <si>
    <t>Выполняло работу</t>
  </si>
  <si>
    <t>N</t>
  </si>
  <si>
    <t>1005</t>
  </si>
  <si>
    <t>1006</t>
  </si>
  <si>
    <t>1007</t>
  </si>
  <si>
    <t>1008</t>
  </si>
  <si>
    <t>1009</t>
  </si>
  <si>
    <t>Название образовательной организации:</t>
  </si>
  <si>
    <t>(5)</t>
  </si>
  <si>
    <t>(6а)</t>
  </si>
  <si>
    <t>(6б)</t>
  </si>
  <si>
    <t>(8)</t>
  </si>
  <si>
    <t>Учащихся в классе:</t>
  </si>
  <si>
    <r>
      <t>Название образовательной организации:</t>
    </r>
    <r>
      <rPr>
        <sz val="11"/>
        <rFont val="Cambria"/>
        <family val="1"/>
        <charset val="204"/>
      </rPr>
      <t xml:space="preserve"> </t>
    </r>
  </si>
  <si>
    <t>ВАРИАНТ</t>
  </si>
  <si>
    <t>НОМЕР ЗАДАНИЯ</t>
  </si>
  <si>
    <t>8. Выскажите, пожалуйста, свои предложения по совершенствованию  материалов:</t>
  </si>
  <si>
    <r>
      <t xml:space="preserve">Кол-во </t>
    </r>
    <r>
      <rPr>
        <b/>
        <u/>
        <sz val="10"/>
        <rFont val="Cambria"/>
        <family val="1"/>
        <charset val="204"/>
      </rPr>
      <t>балов</t>
    </r>
    <r>
      <rPr>
        <b/>
        <sz val="10"/>
        <rFont val="Cambria"/>
        <family val="1"/>
        <charset val="204"/>
      </rPr>
      <t xml:space="preserve"> за задания</t>
    </r>
    <r>
      <rPr>
        <b/>
        <u/>
        <sz val="10"/>
        <rFont val="Cambria"/>
        <family val="1"/>
        <charset val="204"/>
      </rPr>
      <t xml:space="preserve"> </t>
    </r>
    <r>
      <rPr>
        <b/>
        <sz val="10"/>
        <rFont val="Cambria"/>
        <family val="1"/>
        <charset val="204"/>
      </rPr>
      <t>базового уровня</t>
    </r>
  </si>
  <si>
    <t>Проверяемые элементы содержания</t>
  </si>
  <si>
    <t>Код проверяемых умений</t>
  </si>
  <si>
    <t>Не достигли базового уровня  (% учащихся, не достигших базового уровня)</t>
  </si>
  <si>
    <t>Достигли базового уровня  (% учащихся, достигших базового уровня)</t>
  </si>
  <si>
    <t>кол-во чел.</t>
  </si>
  <si>
    <t>процент</t>
  </si>
  <si>
    <t>Общее количество баллов за задания базового уровня</t>
  </si>
  <si>
    <t>Среднее количество баллов за задания базового уровня</t>
  </si>
  <si>
    <t>Процент выполнения заданий базового уровня</t>
  </si>
  <si>
    <t>Номер задания</t>
  </si>
  <si>
    <t>Задание 18</t>
  </si>
  <si>
    <t>Кол-во учащихся полностью выполнивших задание</t>
  </si>
  <si>
    <t>Доля учащихся полностьювы полнивших задание</t>
  </si>
  <si>
    <t>Максимальный балл</t>
  </si>
  <si>
    <t>частично</t>
  </si>
  <si>
    <t>Задания выполнены полностью</t>
  </si>
  <si>
    <t>Задания не выполнены</t>
  </si>
  <si>
    <t>Задания выполнены</t>
  </si>
  <si>
    <t>max баллов</t>
  </si>
  <si>
    <t>заданий</t>
  </si>
  <si>
    <t>Ожидаемая решаемость</t>
  </si>
  <si>
    <t>60-90%</t>
  </si>
  <si>
    <t>40-60%</t>
  </si>
  <si>
    <t>Доля учащихся, справившихся с заданием полностью</t>
  </si>
  <si>
    <t>Количество учащихся в классе по журналу</t>
  </si>
  <si>
    <t>6. Укажите автора учебника истории, по которому Вы работаете в этом учебном году</t>
  </si>
  <si>
    <t>Пониженный</t>
  </si>
  <si>
    <t xml:space="preserve">Результаты выполнения заданий базового уровня </t>
  </si>
  <si>
    <t>5. Количество уроков математики в неделю</t>
  </si>
  <si>
    <t>РЕЗУЛЬТАТЫ ВЫПОЛНЕНИЯ РАБОТЫ ПО МАТЕМАТИКЕ (ответы учащихся)</t>
  </si>
  <si>
    <t>РЕЗУЛЬТАТЫ ВЫПОЛНЕНИЯ РАБОТЫ ПО МАТЕМАТИКИ (результаты учащихя)</t>
  </si>
  <si>
    <t>ДА</t>
  </si>
  <si>
    <t>Запись натуральных чисел</t>
  </si>
  <si>
    <t>Соотношения между именованными числами</t>
  </si>
  <si>
    <t>Классы, разряды</t>
  </si>
  <si>
    <t xml:space="preserve">Деление </t>
  </si>
  <si>
    <t>Запись числового выражения</t>
  </si>
  <si>
    <t>Простейшие уравнения</t>
  </si>
  <si>
    <t>Начальные сведения об обыкновенных дробях</t>
  </si>
  <si>
    <t>Арифметическая задача с косвенной подачей условия</t>
  </si>
  <si>
    <t>Задача на сложное движение (навстречу, вдогонку и т.п.)</t>
  </si>
  <si>
    <t>Площадь прямоугольника, квадрата</t>
  </si>
  <si>
    <t>Узнавание геометрических фигур</t>
  </si>
  <si>
    <t>Периметр геометрической фигуры</t>
  </si>
  <si>
    <t>Расположение геометрических тел в пространстве</t>
  </si>
  <si>
    <t>Оценка реальных измерений</t>
  </si>
  <si>
    <t>Деление с остатком, прикидка</t>
  </si>
  <si>
    <t>Работа с таблицами данных, сравнение натуральных чисел</t>
  </si>
  <si>
    <t>Отыскание закономерностей</t>
  </si>
  <si>
    <t>Задача с ложными данными</t>
  </si>
  <si>
    <t>2 балл</t>
  </si>
  <si>
    <t>Результаты выполнения контрольной работы по математике по отдельным заданиям (5 класс, начало 2013/2014 учебного года)</t>
  </si>
  <si>
    <t>Распределение участников по уровням подготовки по математике</t>
  </si>
  <si>
    <t>Недостаточный</t>
  </si>
  <si>
    <t>Результаты выполнения итоговой работы по математике (5 класс, начало 2013/2014)</t>
  </si>
  <si>
    <t>Набрали не более 10 баллов</t>
  </si>
  <si>
    <t>Критическое значение достижения базового уровня (набрали 11-18 баллов)</t>
  </si>
  <si>
    <t>Перспективное значение достижения базового уровня (набрали более 19 баллов)</t>
  </si>
  <si>
    <t>Задание 7</t>
  </si>
  <si>
    <t>Задание 8</t>
  </si>
  <si>
    <t>Задание 9</t>
  </si>
  <si>
    <t>Задание 12</t>
  </si>
  <si>
    <t>Задание 16</t>
  </si>
  <si>
    <t>Задание 17</t>
  </si>
  <si>
    <t>26 сентября</t>
  </si>
  <si>
    <t>Итоговая отметка за 5 класс по математике</t>
  </si>
  <si>
    <t>0500</t>
  </si>
  <si>
    <t>0501</t>
  </si>
  <si>
    <t>0502</t>
  </si>
  <si>
    <t>0503</t>
  </si>
  <si>
    <t>0504</t>
  </si>
  <si>
    <t>Арифметика</t>
  </si>
  <si>
    <t>Геометрия</t>
  </si>
  <si>
    <t>Реальная математика</t>
  </si>
  <si>
    <t>1-6</t>
  </si>
  <si>
    <t>10-11, 13</t>
  </si>
  <si>
    <t>14-15</t>
  </si>
  <si>
    <t>7-9</t>
  </si>
  <si>
    <t>16-18</t>
  </si>
  <si>
    <t>Проверяемое содержание</t>
  </si>
  <si>
    <t>Протокол проведения контрольной работы по МАТЕМАТИКИ для учащихся 5 классов (2013 год)</t>
  </si>
  <si>
    <t>138074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</si>
  <si>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№80</t>
  </si>
  <si>
    <t>01</t>
  </si>
  <si>
    <t>02</t>
  </si>
  <si>
    <t>12</t>
  </si>
  <si>
    <t>09</t>
  </si>
  <si>
    <t>07</t>
  </si>
  <si>
    <t>04</t>
  </si>
  <si>
    <t>11</t>
  </si>
  <si>
    <t>06</t>
  </si>
  <si>
    <t>03</t>
  </si>
  <si>
    <t>10</t>
  </si>
  <si>
    <t>Быстрякова Светлана Александровна</t>
  </si>
  <si>
    <t>Лунегова Елена Вячеславовна</t>
  </si>
  <si>
    <t>Учитель (не работающий с тестируемыми)</t>
  </si>
  <si>
    <t>НЕТ</t>
  </si>
  <si>
    <t>7,9,11,12,</t>
  </si>
  <si>
    <t>средняя</t>
  </si>
  <si>
    <t>Г.К.Муравин</t>
  </si>
  <si>
    <t>Соответствие должности</t>
  </si>
  <si>
    <t>Юпитер сатурн</t>
  </si>
  <si>
    <t>40-</t>
  </si>
  <si>
    <t>сатурн,юпитер</t>
  </si>
  <si>
    <t>2м74см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</si>
</sst>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%"/>
    <numFmt numFmtId="166" formatCode="0.0"/>
    <numFmt numFmtId="167" formatCode="[$-FC19]dd\ mmmm\ yyyy\ \г\.;@"/>
  </numFmts>
  <fonts count="48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2"/>
      <name val="Times New Roman"/>
      <family val="1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Arial Cyr"/>
      <family val="2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b/>
      <u/>
      <sz val="10"/>
      <name val="Cambria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0"/>
      <name val="Arial Cyr"/>
      <charset val="204"/>
    </font>
    <font>
      <sz val="12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0"/>
      <color theme="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4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/>
    <xf numFmtId="0" fontId="7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Protection="1">
      <protection locked="0" hidden="1"/>
    </xf>
    <xf numFmtId="0" fontId="0" fillId="0" borderId="0" xfId="0" applyBorder="1" applyAlignment="1" applyProtection="1">
      <alignment horizontal="left" wrapText="1"/>
      <protection locked="0"/>
    </xf>
    <xf numFmtId="0" fontId="0" fillId="2" borderId="0" xfId="0" applyFill="1" applyBorder="1" applyAlignment="1"/>
    <xf numFmtId="0" fontId="0" fillId="0" borderId="0" xfId="0" applyBorder="1" applyAlignment="1">
      <alignment horizontal="left" wrapText="1"/>
    </xf>
    <xf numFmtId="0" fontId="9" fillId="2" borderId="0" xfId="0" applyFont="1" applyFill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5" fillId="2" borderId="0" xfId="0" applyFont="1" applyFill="1"/>
    <xf numFmtId="0" fontId="5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5" fillId="3" borderId="2" xfId="0" applyFont="1" applyFill="1" applyBorder="1"/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/>
    <xf numFmtId="0" fontId="5" fillId="2" borderId="2" xfId="0" applyFont="1" applyFill="1" applyBorder="1" applyAlignment="1">
      <alignment horizontal="right"/>
    </xf>
    <xf numFmtId="20" fontId="0" fillId="2" borderId="3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0" fillId="2" borderId="3" xfId="0" applyFill="1" applyBorder="1" applyAlignment="1" applyProtection="1">
      <alignment horizontal="center"/>
      <protection locked="0"/>
    </xf>
    <xf numFmtId="0" fontId="15" fillId="2" borderId="0" xfId="0" applyFont="1" applyFill="1" applyBorder="1"/>
    <xf numFmtId="49" fontId="0" fillId="2" borderId="0" xfId="0" applyNumberFormat="1" applyFill="1" applyBorder="1" applyAlignment="1">
      <alignment horizontal="center"/>
    </xf>
    <xf numFmtId="0" fontId="5" fillId="3" borderId="5" xfId="0" applyFont="1" applyFill="1" applyBorder="1"/>
    <xf numFmtId="49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0" fillId="0" borderId="0" xfId="1"/>
    <xf numFmtId="0" fontId="24" fillId="0" borderId="0" xfId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right"/>
    </xf>
    <xf numFmtId="165" fontId="0" fillId="0" borderId="0" xfId="2" applyNumberFormat="1" applyFont="1"/>
    <xf numFmtId="0" fontId="25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locked="0" hidden="1"/>
    </xf>
    <xf numFmtId="49" fontId="30" fillId="0" borderId="8" xfId="0" applyNumberFormat="1" applyFont="1" applyFill="1" applyBorder="1" applyAlignment="1" applyProtection="1">
      <alignment horizontal="center"/>
      <protection hidden="1"/>
    </xf>
    <xf numFmtId="49" fontId="30" fillId="0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9" xfId="0" applyNumberFormat="1" applyFont="1" applyFill="1" applyBorder="1" applyAlignment="1" applyProtection="1">
      <alignment horizontal="center"/>
      <protection hidden="1"/>
    </xf>
    <xf numFmtId="49" fontId="30" fillId="0" borderId="10" xfId="0" applyNumberFormat="1" applyFont="1" applyFill="1" applyBorder="1" applyAlignment="1" applyProtection="1">
      <alignment horizontal="center"/>
      <protection hidden="1"/>
    </xf>
    <xf numFmtId="49" fontId="30" fillId="0" borderId="11" xfId="0" applyNumberFormat="1" applyFont="1" applyFill="1" applyBorder="1" applyAlignment="1" applyProtection="1">
      <alignment horizontal="center"/>
      <protection locked="0" hidden="1"/>
    </xf>
    <xf numFmtId="0" fontId="25" fillId="4" borderId="12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 wrapText="1"/>
      <protection hidden="1"/>
    </xf>
    <xf numFmtId="0" fontId="25" fillId="4" borderId="14" xfId="0" applyFont="1" applyFill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 vertical="center"/>
      <protection locked="0" hidden="1"/>
    </xf>
    <xf numFmtId="0" fontId="25" fillId="0" borderId="11" xfId="0" applyNumberFormat="1" applyFont="1" applyBorder="1" applyProtection="1">
      <protection locked="0"/>
    </xf>
    <xf numFmtId="0" fontId="25" fillId="0" borderId="11" xfId="0" applyNumberFormat="1" applyFont="1" applyBorder="1" applyAlignment="1" applyProtection="1">
      <alignment horizontal="center"/>
      <protection hidden="1"/>
    </xf>
    <xf numFmtId="0" fontId="25" fillId="0" borderId="11" xfId="0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2" borderId="11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2" borderId="0" xfId="0" applyFont="1" applyFill="1" applyProtection="1">
      <protection hidden="1"/>
    </xf>
    <xf numFmtId="0" fontId="25" fillId="2" borderId="0" xfId="0" applyFont="1" applyFill="1" applyAlignment="1" applyProtection="1"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Alignment="1" applyProtection="1">
      <alignment horizontal="left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30" fillId="2" borderId="6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right"/>
      <protection hidden="1"/>
    </xf>
    <xf numFmtId="0" fontId="28" fillId="2" borderId="3" xfId="0" applyFont="1" applyFill="1" applyBorder="1" applyAlignment="1" applyProtection="1">
      <alignment horizontal="center" vertical="center"/>
      <protection locked="0" hidden="1"/>
    </xf>
    <xf numFmtId="0" fontId="32" fillId="2" borderId="0" xfId="0" applyFont="1" applyFill="1" applyBorder="1" applyAlignment="1" applyProtection="1">
      <protection hidden="1"/>
    </xf>
    <xf numFmtId="0" fontId="25" fillId="2" borderId="11" xfId="0" applyFont="1" applyFill="1" applyBorder="1" applyAlignment="1" applyProtection="1">
      <alignment horizontal="center"/>
      <protection hidden="1"/>
    </xf>
    <xf numFmtId="0" fontId="25" fillId="2" borderId="11" xfId="0" applyFont="1" applyFill="1" applyBorder="1" applyAlignment="1" applyProtection="1">
      <alignment vertical="center" wrapText="1"/>
      <protection hidden="1"/>
    </xf>
    <xf numFmtId="0" fontId="2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right" vertical="center"/>
    </xf>
    <xf numFmtId="49" fontId="33" fillId="0" borderId="0" xfId="1" applyNumberFormat="1" applyFont="1" applyBorder="1" applyAlignment="1">
      <alignment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wrapText="1"/>
    </xf>
    <xf numFmtId="0" fontId="25" fillId="2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0" fillId="0" borderId="0" xfId="0" applyAlignment="1">
      <alignment horizontal="center" wrapText="1"/>
    </xf>
    <xf numFmtId="0" fontId="24" fillId="0" borderId="0" xfId="1" applyFont="1" applyAlignment="1">
      <alignment wrapText="1"/>
    </xf>
    <xf numFmtId="0" fontId="33" fillId="0" borderId="0" xfId="1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165" fontId="26" fillId="0" borderId="11" xfId="2" applyNumberFormat="1" applyFont="1" applyBorder="1" applyAlignment="1">
      <alignment horizontal="center" vertical="center"/>
    </xf>
    <xf numFmtId="165" fontId="0" fillId="0" borderId="0" xfId="0" applyNumberFormat="1"/>
    <xf numFmtId="0" fontId="34" fillId="0" borderId="0" xfId="0" applyFont="1"/>
    <xf numFmtId="0" fontId="34" fillId="0" borderId="0" xfId="0" applyFont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1" xfId="0" applyFont="1" applyFill="1" applyBorder="1"/>
    <xf numFmtId="0" fontId="24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33" fillId="5" borderId="0" xfId="1" applyFont="1" applyFill="1" applyBorder="1" applyAlignment="1">
      <alignment vertical="center"/>
    </xf>
    <xf numFmtId="0" fontId="30" fillId="5" borderId="8" xfId="0" applyFont="1" applyFill="1" applyBorder="1" applyAlignment="1">
      <alignment horizontal="center"/>
    </xf>
    <xf numFmtId="0" fontId="0" fillId="5" borderId="0" xfId="0" applyFill="1"/>
    <xf numFmtId="0" fontId="30" fillId="5" borderId="0" xfId="0" applyFont="1" applyFill="1" applyAlignment="1">
      <alignment horizontal="center"/>
    </xf>
    <xf numFmtId="0" fontId="33" fillId="5" borderId="0" xfId="1" applyFont="1" applyFill="1" applyBorder="1" applyAlignment="1">
      <alignment vertical="center" wrapText="1"/>
    </xf>
    <xf numFmtId="0" fontId="24" fillId="5" borderId="0" xfId="1" applyFont="1" applyFill="1" applyBorder="1" applyAlignment="1">
      <alignment horizontal="left" vertical="center"/>
    </xf>
    <xf numFmtId="0" fontId="35" fillId="6" borderId="15" xfId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66" fontId="0" fillId="0" borderId="0" xfId="0" applyNumberFormat="1"/>
    <xf numFmtId="0" fontId="33" fillId="0" borderId="0" xfId="1" applyFont="1" applyBorder="1" applyAlignment="1">
      <alignment horizontal="right" vertical="center" wrapText="1"/>
    </xf>
    <xf numFmtId="49" fontId="30" fillId="0" borderId="11" xfId="0" applyNumberFormat="1" applyFont="1" applyFill="1" applyBorder="1" applyAlignment="1" applyProtection="1">
      <alignment horizontal="center"/>
      <protection hidden="1"/>
    </xf>
    <xf numFmtId="0" fontId="2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7" xfId="0" applyFont="1" applyFill="1" applyBorder="1" applyAlignment="1" applyProtection="1">
      <alignment vertical="center" wrapText="1"/>
      <protection hidden="1"/>
    </xf>
    <xf numFmtId="0" fontId="2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4" borderId="19" xfId="0" applyFont="1" applyFill="1" applyBorder="1" applyAlignment="1">
      <alignment horizontal="center" vertical="center" wrapText="1"/>
    </xf>
    <xf numFmtId="0" fontId="20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25" fillId="2" borderId="21" xfId="0" applyFont="1" applyFill="1" applyBorder="1" applyAlignment="1" applyProtection="1">
      <alignment horizontal="center"/>
      <protection hidden="1"/>
    </xf>
    <xf numFmtId="0" fontId="25" fillId="2" borderId="21" xfId="0" applyFont="1" applyFill="1" applyBorder="1" applyAlignment="1" applyProtection="1">
      <alignment vertical="center" wrapText="1"/>
      <protection hidden="1"/>
    </xf>
    <xf numFmtId="0" fontId="0" fillId="0" borderId="5" xfId="0" applyBorder="1" applyProtection="1">
      <protection hidden="1"/>
    </xf>
    <xf numFmtId="0" fontId="25" fillId="2" borderId="18" xfId="0" applyFont="1" applyFill="1" applyBorder="1" applyAlignment="1" applyProtection="1">
      <alignment horizontal="center"/>
      <protection hidden="1"/>
    </xf>
    <xf numFmtId="0" fontId="25" fillId="2" borderId="18" xfId="0" applyFont="1" applyFill="1" applyBorder="1" applyAlignment="1" applyProtection="1">
      <alignment vertical="center" wrapText="1"/>
      <protection hidden="1"/>
    </xf>
    <xf numFmtId="0" fontId="25" fillId="2" borderId="22" xfId="0" applyFont="1" applyFill="1" applyBorder="1" applyAlignment="1" applyProtection="1">
      <alignment vertical="center" wrapText="1"/>
      <protection hidden="1"/>
    </xf>
    <xf numFmtId="0" fontId="25" fillId="2" borderId="23" xfId="0" applyFont="1" applyFill="1" applyBorder="1" applyAlignment="1" applyProtection="1">
      <alignment vertical="center" wrapText="1"/>
      <protection hidden="1"/>
    </xf>
    <xf numFmtId="0" fontId="5" fillId="5" borderId="0" xfId="0" applyFont="1" applyFill="1"/>
    <xf numFmtId="0" fontId="21" fillId="0" borderId="11" xfId="0" applyFont="1" applyBorder="1" applyAlignment="1">
      <alignment horizontal="justify" vertical="center" wrapText="1"/>
    </xf>
    <xf numFmtId="0" fontId="28" fillId="2" borderId="24" xfId="0" applyFont="1" applyFill="1" applyBorder="1" applyAlignment="1" applyProtection="1">
      <alignment horizontal="center" vertical="center" wrapText="1"/>
      <protection hidden="1"/>
    </xf>
    <xf numFmtId="0" fontId="28" fillId="2" borderId="25" xfId="0" applyFont="1" applyFill="1" applyBorder="1" applyAlignment="1" applyProtection="1">
      <alignment horizontal="center" vertical="center" wrapText="1"/>
      <protection hidden="1"/>
    </xf>
    <xf numFmtId="0" fontId="28" fillId="2" borderId="26" xfId="0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center"/>
    </xf>
    <xf numFmtId="0" fontId="34" fillId="4" borderId="11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10" xfId="1" applyFont="1" applyBorder="1" applyAlignment="1">
      <alignment horizontal="center" vertical="center"/>
    </xf>
    <xf numFmtId="165" fontId="36" fillId="0" borderId="15" xfId="1" applyNumberFormat="1" applyFont="1" applyBorder="1" applyAlignment="1">
      <alignment horizontal="center" vertical="center"/>
    </xf>
    <xf numFmtId="0" fontId="36" fillId="4" borderId="27" xfId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right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3" fillId="0" borderId="0" xfId="1" applyFont="1" applyBorder="1" applyAlignment="1">
      <alignment horizontal="center" vertical="center" wrapText="1"/>
    </xf>
    <xf numFmtId="166" fontId="26" fillId="0" borderId="11" xfId="0" applyNumberFormat="1" applyFont="1" applyBorder="1" applyAlignment="1">
      <alignment horizontal="center" vertical="center"/>
    </xf>
    <xf numFmtId="166" fontId="26" fillId="0" borderId="11" xfId="2" applyNumberFormat="1" applyFont="1" applyBorder="1" applyAlignment="1">
      <alignment horizontal="center" vertical="center"/>
    </xf>
    <xf numFmtId="1" fontId="26" fillId="0" borderId="11" xfId="2" applyNumberFormat="1" applyFont="1" applyBorder="1" applyAlignment="1">
      <alignment horizontal="center" vertical="center"/>
    </xf>
    <xf numFmtId="1" fontId="26" fillId="0" borderId="14" xfId="2" applyNumberFormat="1" applyFont="1" applyBorder="1" applyAlignment="1">
      <alignment horizontal="center" vertical="center"/>
    </xf>
    <xf numFmtId="0" fontId="37" fillId="0" borderId="0" xfId="0" applyFont="1"/>
    <xf numFmtId="1" fontId="26" fillId="0" borderId="11" xfId="0" applyNumberFormat="1" applyFont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 applyAlignment="1">
      <alignment horizontal="center"/>
    </xf>
    <xf numFmtId="0" fontId="33" fillId="0" borderId="8" xfId="1" applyFont="1" applyBorder="1" applyAlignment="1">
      <alignment horizontal="center" vertical="center" wrapText="1"/>
    </xf>
    <xf numFmtId="0" fontId="38" fillId="5" borderId="11" xfId="1" applyFont="1" applyFill="1" applyBorder="1" applyAlignment="1">
      <alignment horizontal="center" vertical="center" wrapText="1"/>
    </xf>
    <xf numFmtId="0" fontId="38" fillId="5" borderId="11" xfId="1" applyFont="1" applyFill="1" applyBorder="1" applyAlignment="1">
      <alignment horizontal="center" vertical="center"/>
    </xf>
    <xf numFmtId="1" fontId="38" fillId="5" borderId="11" xfId="1" applyNumberFormat="1" applyFont="1" applyFill="1" applyBorder="1" applyAlignment="1">
      <alignment horizontal="center" vertical="center"/>
    </xf>
    <xf numFmtId="1" fontId="38" fillId="5" borderId="11" xfId="1" applyNumberFormat="1" applyFont="1" applyFill="1" applyBorder="1" applyAlignment="1">
      <alignment vertical="center"/>
    </xf>
    <xf numFmtId="166" fontId="38" fillId="5" borderId="11" xfId="2" applyNumberFormat="1" applyFont="1" applyFill="1" applyBorder="1" applyAlignment="1">
      <alignment horizontal="center"/>
    </xf>
    <xf numFmtId="0" fontId="24" fillId="5" borderId="0" xfId="1" applyFont="1" applyFill="1" applyBorder="1" applyAlignment="1">
      <alignment horizontal="center"/>
    </xf>
    <xf numFmtId="0" fontId="0" fillId="5" borderId="11" xfId="0" applyFill="1" applyBorder="1" applyAlignment="1">
      <alignment wrapText="1"/>
    </xf>
    <xf numFmtId="0" fontId="0" fillId="5" borderId="11" xfId="0" applyFill="1" applyBorder="1" applyAlignment="1">
      <alignment horizontal="center" vertical="center"/>
    </xf>
    <xf numFmtId="166" fontId="0" fillId="5" borderId="11" xfId="0" applyNumberFormat="1" applyFill="1" applyBorder="1" applyAlignment="1">
      <alignment horizontal="center" vertical="center"/>
    </xf>
    <xf numFmtId="0" fontId="39" fillId="0" borderId="0" xfId="1" applyFont="1" applyAlignment="1">
      <alignment wrapText="1"/>
    </xf>
    <xf numFmtId="0" fontId="24" fillId="0" borderId="0" xfId="1" applyFont="1" applyAlignment="1">
      <alignment vertical="center" wrapText="1"/>
    </xf>
    <xf numFmtId="10" fontId="0" fillId="0" borderId="0" xfId="0" applyNumberFormat="1"/>
    <xf numFmtId="0" fontId="35" fillId="4" borderId="18" xfId="1" applyFont="1" applyFill="1" applyBorder="1" applyAlignment="1">
      <alignment horizontal="center" vertical="center" wrapText="1"/>
    </xf>
    <xf numFmtId="0" fontId="35" fillId="4" borderId="27" xfId="1" applyFont="1" applyFill="1" applyBorder="1" applyAlignment="1">
      <alignment horizontal="center" vertical="center" wrapText="1"/>
    </xf>
    <xf numFmtId="165" fontId="34" fillId="0" borderId="11" xfId="2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66" fontId="34" fillId="0" borderId="21" xfId="0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right" vertical="center" wrapText="1"/>
    </xf>
    <xf numFmtId="0" fontId="10" fillId="0" borderId="11" xfId="1" applyBorder="1" applyAlignment="1">
      <alignment horizontal="center" vertical="center"/>
    </xf>
    <xf numFmtId="0" fontId="33" fillId="0" borderId="0" xfId="1" applyNumberFormat="1" applyFont="1" applyBorder="1" applyAlignment="1">
      <alignment vertical="center" wrapText="1"/>
    </xf>
    <xf numFmtId="49" fontId="7" fillId="0" borderId="0" xfId="1" applyNumberFormat="1" applyFont="1" applyAlignment="1">
      <alignment vertical="center"/>
    </xf>
    <xf numFmtId="0" fontId="40" fillId="7" borderId="11" xfId="0" applyFont="1" applyFill="1" applyBorder="1" applyAlignment="1" applyProtection="1">
      <alignment horizontal="center" vertical="center" wrapText="1"/>
      <protection hidden="1"/>
    </xf>
    <xf numFmtId="0" fontId="40" fillId="7" borderId="11" xfId="0" applyFont="1" applyFill="1" applyBorder="1" applyAlignment="1" applyProtection="1">
      <alignment horizontal="center" vertical="center" textRotation="90"/>
      <protection hidden="1"/>
    </xf>
    <xf numFmtId="0" fontId="40" fillId="7" borderId="17" xfId="0" applyFont="1" applyFill="1" applyBorder="1" applyAlignment="1" applyProtection="1">
      <alignment horizontal="center" vertical="center"/>
      <protection hidden="1"/>
    </xf>
    <xf numFmtId="0" fontId="41" fillId="7" borderId="28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 applyProtection="1">
      <alignment horizontal="center" vertical="center" wrapText="1"/>
      <protection hidden="1"/>
    </xf>
    <xf numFmtId="0" fontId="42" fillId="8" borderId="11" xfId="0" applyFont="1" applyFill="1" applyBorder="1" applyProtection="1">
      <protection hidden="1"/>
    </xf>
    <xf numFmtId="0" fontId="42" fillId="8" borderId="29" xfId="0" applyNumberFormat="1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/>
    <xf numFmtId="0" fontId="40" fillId="7" borderId="12" xfId="0" applyFont="1" applyFill="1" applyBorder="1" applyAlignment="1">
      <alignment horizontal="center" textRotation="90"/>
    </xf>
    <xf numFmtId="0" fontId="40" fillId="7" borderId="30" xfId="0" applyFont="1" applyFill="1" applyBorder="1" applyAlignment="1">
      <alignment horizontal="center"/>
    </xf>
    <xf numFmtId="0" fontId="41" fillId="7" borderId="31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2" fillId="2" borderId="10" xfId="0" applyFont="1" applyFill="1" applyBorder="1" applyProtection="1">
      <protection hidden="1"/>
    </xf>
    <xf numFmtId="0" fontId="42" fillId="2" borderId="11" xfId="0" applyFont="1" applyFill="1" applyBorder="1" applyProtection="1">
      <protection hidden="1"/>
    </xf>
    <xf numFmtId="9" fontId="42" fillId="2" borderId="11" xfId="2" applyNumberFormat="1" applyFont="1" applyFill="1" applyBorder="1" applyProtection="1">
      <protection hidden="1"/>
    </xf>
    <xf numFmtId="49" fontId="42" fillId="0" borderId="0" xfId="0" applyNumberFormat="1" applyFont="1" applyProtection="1">
      <protection hidden="1"/>
    </xf>
    <xf numFmtId="0" fontId="42" fillId="0" borderId="0" xfId="0" applyFont="1" applyBorder="1" applyProtection="1"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wrapText="1"/>
      <protection hidden="1"/>
    </xf>
    <xf numFmtId="0" fontId="30" fillId="5" borderId="0" xfId="0" applyFont="1" applyFill="1" applyBorder="1" applyAlignment="1" applyProtection="1">
      <alignment horizontal="center"/>
      <protection hidden="1"/>
    </xf>
    <xf numFmtId="0" fontId="10" fillId="5" borderId="0" xfId="1" applyFill="1" applyBorder="1"/>
    <xf numFmtId="0" fontId="24" fillId="5" borderId="0" xfId="1" applyFont="1" applyFill="1" applyAlignment="1">
      <alignment vertical="center" wrapText="1"/>
    </xf>
    <xf numFmtId="0" fontId="24" fillId="5" borderId="0" xfId="1" applyFont="1" applyFill="1" applyBorder="1" applyAlignment="1">
      <alignment horizontal="right" vertical="center"/>
    </xf>
    <xf numFmtId="0" fontId="38" fillId="5" borderId="11" xfId="0" applyFont="1" applyFill="1" applyBorder="1"/>
    <xf numFmtId="1" fontId="33" fillId="5" borderId="8" xfId="1" applyNumberFormat="1" applyFont="1" applyFill="1" applyBorder="1" applyAlignment="1">
      <alignment horizontal="left" vertical="center" wrapText="1"/>
    </xf>
    <xf numFmtId="0" fontId="33" fillId="5" borderId="0" xfId="1" applyFont="1" applyFill="1" applyBorder="1" applyAlignment="1">
      <alignment horizontal="right" vertical="center" wrapText="1"/>
    </xf>
    <xf numFmtId="1" fontId="33" fillId="5" borderId="8" xfId="1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  <protection locked="0" hidden="1"/>
    </xf>
    <xf numFmtId="0" fontId="28" fillId="4" borderId="13" xfId="0" applyFont="1" applyFill="1" applyBorder="1" applyAlignment="1" applyProtection="1">
      <alignment horizontal="center" vertical="center" wrapText="1"/>
      <protection hidden="1"/>
    </xf>
    <xf numFmtId="0" fontId="25" fillId="2" borderId="22" xfId="0" applyFont="1" applyFill="1" applyBorder="1" applyAlignment="1" applyProtection="1">
      <alignment horizontal="center"/>
      <protection hidden="1"/>
    </xf>
    <xf numFmtId="0" fontId="25" fillId="2" borderId="17" xfId="0" applyFont="1" applyFill="1" applyBorder="1" applyAlignment="1" applyProtection="1">
      <alignment horizontal="center"/>
      <protection hidden="1"/>
    </xf>
    <xf numFmtId="0" fontId="25" fillId="2" borderId="16" xfId="0" applyFont="1" applyFill="1" applyBorder="1" applyAlignment="1" applyProtection="1">
      <alignment vertical="center" wrapText="1"/>
      <protection hidden="1"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wrapText="1"/>
      <protection hidden="1"/>
    </xf>
    <xf numFmtId="0" fontId="25" fillId="0" borderId="32" xfId="0" applyFont="1" applyFill="1" applyBorder="1" applyAlignment="1" applyProtection="1">
      <alignment horizontal="center" vertical="center"/>
      <protection hidden="1"/>
    </xf>
    <xf numFmtId="0" fontId="25" fillId="0" borderId="33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 hidden="1"/>
    </xf>
    <xf numFmtId="0" fontId="28" fillId="0" borderId="13" xfId="0" applyFont="1" applyFill="1" applyBorder="1" applyAlignment="1" applyProtection="1">
      <alignment horizontal="center" vertical="center" textRotation="90"/>
      <protection hidden="1"/>
    </xf>
    <xf numFmtId="0" fontId="28" fillId="0" borderId="34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>
      <alignment horizontal="center" vertical="center" wrapText="1"/>
    </xf>
    <xf numFmtId="1" fontId="25" fillId="2" borderId="11" xfId="0" applyNumberFormat="1" applyFont="1" applyFill="1" applyBorder="1" applyAlignment="1" applyProtection="1">
      <alignment horizontal="center"/>
      <protection locked="0"/>
    </xf>
    <xf numFmtId="1" fontId="25" fillId="0" borderId="11" xfId="0" applyNumberFormat="1" applyFont="1" applyBorder="1" applyAlignment="1" applyProtection="1">
      <alignment horizontal="center"/>
      <protection locked="0"/>
    </xf>
    <xf numFmtId="0" fontId="40" fillId="7" borderId="14" xfId="0" applyFont="1" applyFill="1" applyBorder="1" applyAlignment="1" applyProtection="1">
      <alignment horizontal="center" vertical="center" wrapText="1"/>
      <protection hidden="1"/>
    </xf>
    <xf numFmtId="0" fontId="40" fillId="7" borderId="14" xfId="0" applyFont="1" applyFill="1" applyBorder="1" applyAlignment="1" applyProtection="1">
      <alignment horizontal="center" vertical="center" textRotation="90"/>
      <protection hidden="1"/>
    </xf>
    <xf numFmtId="0" fontId="40" fillId="7" borderId="32" xfId="0" applyFont="1" applyFill="1" applyBorder="1" applyAlignment="1" applyProtection="1">
      <alignment horizontal="center" vertical="center"/>
      <protection hidden="1"/>
    </xf>
    <xf numFmtId="0" fontId="40" fillId="8" borderId="14" xfId="0" applyFont="1" applyFill="1" applyBorder="1" applyAlignment="1" applyProtection="1">
      <alignment horizontal="center" vertical="center" wrapText="1"/>
      <protection hidden="1"/>
    </xf>
    <xf numFmtId="0" fontId="42" fillId="8" borderId="14" xfId="0" applyFont="1" applyFill="1" applyBorder="1" applyProtection="1"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textRotation="90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textRotation="90" wrapText="1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ill="1" applyBorder="1" applyProtection="1">
      <protection hidden="1"/>
    </xf>
    <xf numFmtId="0" fontId="37" fillId="5" borderId="0" xfId="0" applyFont="1" applyFill="1" applyBorder="1" applyProtection="1">
      <protection hidden="1"/>
    </xf>
    <xf numFmtId="0" fontId="28" fillId="0" borderId="16" xfId="0" applyFont="1" applyFill="1" applyBorder="1" applyAlignment="1" applyProtection="1">
      <alignment horizontal="center" vertical="center" textRotation="90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40" fillId="8" borderId="28" xfId="0" applyFont="1" applyFill="1" applyBorder="1" applyAlignment="1" applyProtection="1">
      <alignment horizontal="center" vertical="center" wrapText="1"/>
      <protection hidden="1"/>
    </xf>
    <xf numFmtId="0" fontId="40" fillId="8" borderId="16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>
      <alignment vertical="center" wrapText="1"/>
    </xf>
    <xf numFmtId="0" fontId="25" fillId="2" borderId="0" xfId="0" applyFont="1" applyFill="1" applyBorder="1" applyAlignment="1" applyProtection="1">
      <alignment horizontal="center" wrapText="1"/>
      <protection hidden="1"/>
    </xf>
    <xf numFmtId="49" fontId="0" fillId="2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0" xfId="0" applyNumberFormat="1" applyFill="1" applyAlignment="1" applyProtection="1">
      <alignment wrapText="1"/>
      <protection hidden="1"/>
    </xf>
    <xf numFmtId="0" fontId="0" fillId="0" borderId="0" xfId="0" applyNumberFormat="1" applyProtection="1">
      <protection hidden="1"/>
    </xf>
    <xf numFmtId="0" fontId="25" fillId="0" borderId="16" xfId="0" applyFont="1" applyFill="1" applyBorder="1" applyAlignment="1">
      <alignment horizontal="center" vertical="center" wrapText="1"/>
    </xf>
    <xf numFmtId="0" fontId="0" fillId="2" borderId="0" xfId="0" applyNumberFormat="1" applyFill="1" applyBorder="1" applyProtection="1">
      <protection hidden="1"/>
    </xf>
    <xf numFmtId="0" fontId="0" fillId="2" borderId="11" xfId="0" applyNumberFormat="1" applyFill="1" applyBorder="1" applyProtection="1">
      <protection hidden="1"/>
    </xf>
    <xf numFmtId="0" fontId="0" fillId="2" borderId="11" xfId="0" applyNumberFormat="1" applyFill="1" applyBorder="1" applyAlignment="1" applyProtection="1">
      <alignment horizontal="center" vertical="center"/>
      <protection hidden="1"/>
    </xf>
    <xf numFmtId="0" fontId="25" fillId="4" borderId="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66" fontId="42" fillId="2" borderId="10" xfId="2" applyNumberFormat="1" applyFont="1" applyFill="1" applyBorder="1" applyProtection="1">
      <protection hidden="1"/>
    </xf>
    <xf numFmtId="0" fontId="34" fillId="4" borderId="11" xfId="0" applyFont="1" applyFill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36" fillId="0" borderId="12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/>
    </xf>
    <xf numFmtId="165" fontId="36" fillId="0" borderId="11" xfId="1" applyNumberFormat="1" applyFont="1" applyBorder="1" applyAlignment="1">
      <alignment horizontal="center" vertical="center"/>
    </xf>
    <xf numFmtId="0" fontId="25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7" xfId="0" applyFont="1" applyFill="1" applyBorder="1" applyAlignment="1" applyProtection="1">
      <alignment horizontal="center" vertical="center" textRotation="90"/>
      <protection hidden="1"/>
    </xf>
    <xf numFmtId="0" fontId="40" fillId="7" borderId="37" xfId="0" applyFont="1" applyFill="1" applyBorder="1" applyAlignment="1" applyProtection="1">
      <alignment horizontal="center" vertical="center"/>
      <protection hidden="1"/>
    </xf>
    <xf numFmtId="0" fontId="40" fillId="7" borderId="25" xfId="0" applyFont="1" applyFill="1" applyBorder="1" applyAlignment="1" applyProtection="1">
      <alignment horizontal="center" vertical="center"/>
      <protection hidden="1"/>
    </xf>
    <xf numFmtId="0" fontId="40" fillId="7" borderId="3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 applyProtection="1">
      <alignment horizontal="center" vertical="center" textRotation="90" wrapText="1"/>
      <protection hidden="1"/>
    </xf>
    <xf numFmtId="0" fontId="28" fillId="0" borderId="14" xfId="0" applyFont="1" applyFill="1" applyBorder="1" applyAlignment="1" applyProtection="1">
      <alignment horizontal="center" vertical="center" textRotation="90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28" fillId="0" borderId="39" xfId="0" applyFont="1" applyFill="1" applyBorder="1" applyAlignment="1" applyProtection="1">
      <alignment horizontal="center" vertical="center" wrapText="1"/>
      <protection hidden="1"/>
    </xf>
    <xf numFmtId="0" fontId="40" fillId="8" borderId="40" xfId="0" applyFont="1" applyFill="1" applyBorder="1" applyAlignment="1" applyProtection="1">
      <alignment horizontal="center" vertical="center"/>
      <protection hidden="1"/>
    </xf>
    <xf numFmtId="165" fontId="40" fillId="8" borderId="41" xfId="0" applyNumberFormat="1" applyFont="1" applyFill="1" applyBorder="1" applyAlignment="1" applyProtection="1">
      <alignment horizontal="center" vertical="center" wrapText="1"/>
      <protection hidden="1"/>
    </xf>
    <xf numFmtId="0" fontId="43" fillId="8" borderId="18" xfId="0" applyFont="1" applyFill="1" applyBorder="1" applyAlignment="1" applyProtection="1">
      <alignment horizontal="center" vertical="center"/>
      <protection hidden="1"/>
    </xf>
    <xf numFmtId="166" fontId="43" fillId="8" borderId="18" xfId="0" applyNumberFormat="1" applyFont="1" applyFill="1" applyBorder="1" applyAlignment="1" applyProtection="1">
      <alignment horizontal="center" vertical="center"/>
      <protection hidden="1"/>
    </xf>
    <xf numFmtId="0" fontId="42" fillId="8" borderId="18" xfId="0" applyFont="1" applyFill="1" applyBorder="1" applyProtection="1">
      <protection hidden="1"/>
    </xf>
    <xf numFmtId="0" fontId="42" fillId="8" borderId="27" xfId="0" applyNumberFormat="1" applyFont="1" applyFill="1" applyBorder="1" applyAlignment="1" applyProtection="1">
      <alignment horizontal="center"/>
      <protection hidden="1"/>
    </xf>
    <xf numFmtId="165" fontId="11" fillId="0" borderId="11" xfId="1" applyNumberFormat="1" applyFont="1" applyBorder="1" applyAlignment="1">
      <alignment vertical="center" textRotation="90"/>
    </xf>
    <xf numFmtId="0" fontId="44" fillId="0" borderId="0" xfId="1" applyFont="1"/>
    <xf numFmtId="0" fontId="44" fillId="0" borderId="0" xfId="1" applyFont="1" applyAlignment="1">
      <alignment textRotation="90"/>
    </xf>
    <xf numFmtId="0" fontId="45" fillId="0" borderId="0" xfId="1" applyFont="1"/>
    <xf numFmtId="9" fontId="45" fillId="0" borderId="0" xfId="2" applyFont="1" applyAlignment="1">
      <alignment textRotation="90"/>
    </xf>
    <xf numFmtId="0" fontId="28" fillId="5" borderId="11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/>
    <xf numFmtId="165" fontId="34" fillId="0" borderId="15" xfId="2" applyNumberFormat="1" applyFont="1" applyBorder="1" applyAlignment="1">
      <alignment horizontal="center" vertical="center"/>
    </xf>
    <xf numFmtId="0" fontId="35" fillId="6" borderId="29" xfId="1" applyFont="1" applyFill="1" applyBorder="1" applyAlignment="1">
      <alignment horizontal="center" vertical="center" wrapText="1"/>
    </xf>
    <xf numFmtId="165" fontId="35" fillId="0" borderId="21" xfId="2" applyNumberFormat="1" applyFont="1" applyBorder="1" applyAlignment="1">
      <alignment horizontal="center" vertical="center" wrapText="1"/>
    </xf>
    <xf numFmtId="165" fontId="35" fillId="0" borderId="42" xfId="2" applyNumberFormat="1" applyFont="1" applyBorder="1" applyAlignment="1">
      <alignment horizontal="center" vertical="center" wrapText="1"/>
    </xf>
    <xf numFmtId="9" fontId="28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1" xfId="0" applyFont="1" applyFill="1" applyBorder="1" applyAlignment="1" applyProtection="1">
      <alignment horizontal="center"/>
      <protection hidden="1"/>
    </xf>
    <xf numFmtId="166" fontId="7" fillId="8" borderId="21" xfId="0" applyNumberFormat="1" applyFont="1" applyFill="1" applyBorder="1" applyAlignment="1" applyProtection="1">
      <alignment horizontal="center"/>
      <protection hidden="1"/>
    </xf>
    <xf numFmtId="0" fontId="7" fillId="8" borderId="42" xfId="0" applyNumberFormat="1" applyFont="1" applyFill="1" applyBorder="1" applyAlignment="1" applyProtection="1">
      <alignment horizontal="center"/>
      <protection hidden="1"/>
    </xf>
    <xf numFmtId="0" fontId="25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5" fillId="0" borderId="12" xfId="1" applyFont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165" fontId="35" fillId="0" borderId="12" xfId="2" applyNumberFormat="1" applyFont="1" applyBorder="1" applyAlignment="1">
      <alignment horizontal="center" vertical="center" wrapText="1"/>
    </xf>
    <xf numFmtId="165" fontId="35" fillId="0" borderId="29" xfId="2" applyNumberFormat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0" fontId="5" fillId="0" borderId="2" xfId="0" applyFont="1" applyBorder="1"/>
    <xf numFmtId="0" fontId="5" fillId="2" borderId="0" xfId="0" applyFont="1" applyFill="1" applyBorder="1" applyAlignment="1">
      <alignment horizontal="right" vertical="center"/>
    </xf>
    <xf numFmtId="0" fontId="25" fillId="4" borderId="46" xfId="0" applyFont="1" applyFill="1" applyBorder="1" applyAlignment="1">
      <alignment horizontal="center" vertical="center" wrapText="1"/>
    </xf>
    <xf numFmtId="0" fontId="25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4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8" borderId="49" xfId="0" applyNumberFormat="1" applyFont="1" applyFill="1" applyBorder="1" applyAlignment="1" applyProtection="1">
      <alignment horizontal="center" vertical="center" wrapText="1"/>
      <protection hidden="1"/>
    </xf>
    <xf numFmtId="165" fontId="36" fillId="0" borderId="14" xfId="1" applyNumberFormat="1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/>
    </xf>
    <xf numFmtId="165" fontId="36" fillId="0" borderId="39" xfId="1" applyNumberFormat="1" applyFont="1" applyBorder="1" applyAlignment="1">
      <alignment horizontal="center" vertical="center"/>
    </xf>
    <xf numFmtId="0" fontId="36" fillId="4" borderId="18" xfId="1" applyFont="1" applyFill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/>
    </xf>
    <xf numFmtId="165" fontId="36" fillId="0" borderId="11" xfId="1" applyNumberFormat="1" applyFont="1" applyBorder="1" applyAlignment="1">
      <alignment horizontal="center" vertical="center"/>
    </xf>
    <xf numFmtId="0" fontId="46" fillId="0" borderId="25" xfId="1" applyFont="1" applyBorder="1" applyAlignment="1">
      <alignment horizontal="center" vertical="center"/>
    </xf>
    <xf numFmtId="0" fontId="46" fillId="0" borderId="38" xfId="1" applyFont="1" applyBorder="1" applyAlignment="1">
      <alignment horizontal="center" vertical="center"/>
    </xf>
    <xf numFmtId="0" fontId="46" fillId="0" borderId="17" xfId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/>
    <xf numFmtId="0" fontId="46" fillId="0" borderId="37" xfId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 wrapText="1"/>
    </xf>
    <xf numFmtId="165" fontId="36" fillId="0" borderId="14" xfId="2" applyNumberFormat="1" applyFont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center"/>
      <protection hidden="1"/>
    </xf>
    <xf numFmtId="0" fontId="30" fillId="5" borderId="50" xfId="0" applyFont="1" applyFill="1" applyBorder="1" applyAlignment="1">
      <alignment horizontal="center"/>
    </xf>
    <xf numFmtId="0" fontId="35" fillId="6" borderId="11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wrapText="1"/>
    </xf>
    <xf numFmtId="49" fontId="35" fillId="0" borderId="49" xfId="1" applyNumberFormat="1" applyFont="1" applyFill="1" applyBorder="1" applyAlignment="1">
      <alignment horizontal="center" vertical="center" wrapText="1"/>
    </xf>
    <xf numFmtId="1" fontId="35" fillId="0" borderId="21" xfId="1" applyNumberFormat="1" applyFont="1" applyFill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35" fillId="0" borderId="11" xfId="1" applyFont="1" applyFill="1" applyBorder="1" applyAlignment="1">
      <alignment horizontal="center" vertical="center" wrapText="1"/>
    </xf>
    <xf numFmtId="165" fontId="35" fillId="0" borderId="11" xfId="2" applyNumberFormat="1" applyFont="1" applyBorder="1" applyAlignment="1">
      <alignment horizontal="center" vertical="center" wrapText="1"/>
    </xf>
    <xf numFmtId="165" fontId="35" fillId="0" borderId="15" xfId="2" applyNumberFormat="1" applyFont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49" fontId="35" fillId="0" borderId="49" xfId="1" applyNumberFormat="1" applyFont="1" applyBorder="1" applyAlignment="1">
      <alignment horizontal="center" vertical="center" wrapText="1"/>
    </xf>
    <xf numFmtId="9" fontId="34" fillId="0" borderId="21" xfId="2" applyNumberFormat="1" applyFont="1" applyBorder="1" applyAlignment="1">
      <alignment horizontal="center" vertical="center"/>
    </xf>
    <xf numFmtId="165" fontId="34" fillId="0" borderId="42" xfId="0" applyNumberFormat="1" applyFont="1" applyBorder="1" applyAlignment="1">
      <alignment horizontal="center" vertical="center"/>
    </xf>
    <xf numFmtId="0" fontId="35" fillId="9" borderId="11" xfId="1" applyNumberFormat="1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vertical="center" wrapText="1"/>
    </xf>
    <xf numFmtId="0" fontId="35" fillId="9" borderId="14" xfId="1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left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7" fillId="0" borderId="5" xfId="0" applyFont="1" applyBorder="1" applyProtection="1">
      <protection hidden="1"/>
    </xf>
    <xf numFmtId="0" fontId="25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166" fontId="42" fillId="2" borderId="52" xfId="2" applyNumberFormat="1" applyFont="1" applyFill="1" applyBorder="1" applyProtection="1">
      <protection hidden="1"/>
    </xf>
    <xf numFmtId="9" fontId="42" fillId="2" borderId="12" xfId="2" applyNumberFormat="1" applyFont="1" applyFill="1" applyBorder="1" applyProtection="1">
      <protection hidden="1"/>
    </xf>
    <xf numFmtId="166" fontId="42" fillId="2" borderId="53" xfId="2" applyNumberFormat="1" applyFont="1" applyFill="1" applyBorder="1" applyProtection="1">
      <protection hidden="1"/>
    </xf>
    <xf numFmtId="9" fontId="42" fillId="2" borderId="18" xfId="2" applyNumberFormat="1" applyFont="1" applyFill="1" applyBorder="1" applyProtection="1">
      <protection hidden="1"/>
    </xf>
    <xf numFmtId="0" fontId="42" fillId="2" borderId="12" xfId="0" applyFont="1" applyFill="1" applyBorder="1" applyProtection="1">
      <protection hidden="1"/>
    </xf>
    <xf numFmtId="0" fontId="37" fillId="2" borderId="34" xfId="0" applyFont="1" applyFill="1" applyBorder="1" applyProtection="1">
      <protection hidden="1"/>
    </xf>
    <xf numFmtId="166" fontId="37" fillId="2" borderId="0" xfId="2" applyNumberFormat="1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center" vertical="center" wrapText="1"/>
      <protection locked="0" hidden="1"/>
    </xf>
    <xf numFmtId="0" fontId="25" fillId="0" borderId="54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4" borderId="12" xfId="0" applyFont="1" applyFill="1" applyBorder="1" applyAlignment="1" applyProtection="1">
      <alignment horizontal="center" vertical="center" textRotation="90" wrapText="1"/>
      <protection hidden="1"/>
    </xf>
    <xf numFmtId="0" fontId="25" fillId="4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" borderId="11" xfId="0" applyFont="1" applyFill="1" applyBorder="1" applyAlignment="1" applyProtection="1">
      <alignment horizontal="center" vertical="center"/>
      <protection hidden="1"/>
    </xf>
    <xf numFmtId="0" fontId="25" fillId="4" borderId="12" xfId="0" applyFont="1" applyFill="1" applyBorder="1" applyAlignment="1" applyProtection="1">
      <alignment horizontal="center" vertical="center" wrapText="1"/>
      <protection hidden="1"/>
    </xf>
    <xf numFmtId="0" fontId="25" fillId="4" borderId="13" xfId="0" applyFont="1" applyFill="1" applyBorder="1" applyAlignment="1" applyProtection="1">
      <alignment horizontal="center" wrapText="1"/>
      <protection hidden="1"/>
    </xf>
    <xf numFmtId="0" fontId="25" fillId="4" borderId="14" xfId="0" applyFont="1" applyFill="1" applyBorder="1" applyAlignment="1" applyProtection="1">
      <alignment horizontal="center" wrapText="1"/>
      <protection hidden="1"/>
    </xf>
    <xf numFmtId="0" fontId="25" fillId="4" borderId="30" xfId="0" applyFont="1" applyFill="1" applyBorder="1" applyAlignment="1" applyProtection="1">
      <alignment horizontal="center" vertical="center"/>
      <protection hidden="1"/>
    </xf>
    <xf numFmtId="0" fontId="25" fillId="4" borderId="52" xfId="0" applyFont="1" applyFill="1" applyBorder="1" applyAlignment="1" applyProtection="1">
      <alignment horizontal="center" vertical="center"/>
      <protection hidden="1"/>
    </xf>
    <xf numFmtId="0" fontId="25" fillId="4" borderId="34" xfId="0" applyFont="1" applyFill="1" applyBorder="1" applyAlignment="1" applyProtection="1">
      <alignment horizontal="center" vertical="center"/>
      <protection hidden="1"/>
    </xf>
    <xf numFmtId="0" fontId="25" fillId="4" borderId="56" xfId="0" applyFont="1" applyFill="1" applyBorder="1" applyAlignment="1" applyProtection="1">
      <alignment horizontal="center" vertical="center"/>
      <protection hidden="1"/>
    </xf>
    <xf numFmtId="0" fontId="25" fillId="4" borderId="32" xfId="0" applyFont="1" applyFill="1" applyBorder="1" applyAlignment="1" applyProtection="1">
      <alignment horizontal="center" vertical="center"/>
      <protection hidden="1"/>
    </xf>
    <xf numFmtId="0" fontId="25" fillId="4" borderId="33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 wrapText="1"/>
      <protection locked="0" hidden="1"/>
    </xf>
    <xf numFmtId="0" fontId="25" fillId="4" borderId="13" xfId="0" applyFont="1" applyFill="1" applyBorder="1" applyAlignment="1" applyProtection="1">
      <alignment horizontal="center" vertical="center" wrapText="1"/>
      <protection locked="0" hidden="1"/>
    </xf>
    <xf numFmtId="0" fontId="25" fillId="4" borderId="14" xfId="0" applyFont="1" applyFill="1" applyBorder="1" applyAlignment="1" applyProtection="1">
      <alignment horizontal="center" vertical="center" wrapText="1"/>
      <protection locked="0" hidden="1"/>
    </xf>
    <xf numFmtId="0" fontId="25" fillId="4" borderId="1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>
      <alignment vertical="center" wrapText="1"/>
    </xf>
    <xf numFmtId="0" fontId="30" fillId="0" borderId="8" xfId="0" applyFont="1" applyFill="1" applyBorder="1" applyAlignment="1" applyProtection="1">
      <alignment horizontal="center"/>
      <protection hidden="1"/>
    </xf>
    <xf numFmtId="0" fontId="25" fillId="0" borderId="8" xfId="0" applyFont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4" xfId="0" applyFill="1" applyBorder="1" applyAlignment="1"/>
    <xf numFmtId="0" fontId="0" fillId="2" borderId="46" xfId="0" applyFill="1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4" xfId="0" applyBorder="1" applyAlignment="1"/>
    <xf numFmtId="0" fontId="0" fillId="2" borderId="46" xfId="0" applyFill="1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164" fontId="0" fillId="2" borderId="46" xfId="0" applyNumberFormat="1" applyFill="1" applyBorder="1" applyAlignment="1" applyProtection="1">
      <alignment horizontal="center"/>
      <protection locked="0"/>
    </xf>
    <xf numFmtId="164" fontId="0" fillId="0" borderId="55" xfId="0" applyNumberFormat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>
      <alignment horizontal="right" vertical="center" wrapText="1"/>
    </xf>
    <xf numFmtId="0" fontId="6" fillId="3" borderId="46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2" borderId="54" xfId="0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8" fillId="4" borderId="21" xfId="0" applyFont="1" applyFill="1" applyBorder="1" applyAlignment="1" applyProtection="1">
      <alignment horizontal="center" vertical="center" wrapText="1"/>
      <protection hidden="1"/>
    </xf>
    <xf numFmtId="0" fontId="28" fillId="4" borderId="11" xfId="0" applyFont="1" applyFill="1" applyBorder="1" applyAlignment="1" applyProtection="1">
      <alignment horizontal="center" vertical="center" wrapText="1"/>
      <protection hidden="1"/>
    </xf>
    <xf numFmtId="0" fontId="28" fillId="4" borderId="18" xfId="0" applyFont="1" applyFill="1" applyBorder="1" applyAlignment="1" applyProtection="1">
      <alignment horizontal="center" vertical="center" wrapText="1"/>
      <protection hidden="1"/>
    </xf>
    <xf numFmtId="0" fontId="28" fillId="4" borderId="21" xfId="0" applyFont="1" applyFill="1" applyBorder="1" applyAlignment="1" applyProtection="1">
      <alignment horizontal="center" vertical="center" textRotation="90"/>
      <protection hidden="1"/>
    </xf>
    <xf numFmtId="0" fontId="28" fillId="4" borderId="11" xfId="0" applyFont="1" applyFill="1" applyBorder="1" applyAlignment="1" applyProtection="1">
      <alignment horizontal="center" vertical="center" textRotation="90"/>
      <protection hidden="1"/>
    </xf>
    <xf numFmtId="0" fontId="28" fillId="4" borderId="18" xfId="0" applyFont="1" applyFill="1" applyBorder="1" applyAlignment="1" applyProtection="1">
      <alignment horizontal="center" vertical="center" textRotation="90"/>
      <protection hidden="1"/>
    </xf>
    <xf numFmtId="0" fontId="28" fillId="4" borderId="42" xfId="0" applyFont="1" applyFill="1" applyBorder="1" applyAlignment="1" applyProtection="1">
      <alignment horizontal="center" vertical="center"/>
      <protection hidden="1"/>
    </xf>
    <xf numFmtId="0" fontId="28" fillId="4" borderId="15" xfId="0" applyFont="1" applyFill="1" applyBorder="1" applyAlignment="1" applyProtection="1">
      <alignment horizontal="center" vertical="center"/>
      <protection hidden="1"/>
    </xf>
    <xf numFmtId="0" fontId="28" fillId="4" borderId="27" xfId="0" applyFont="1" applyFill="1" applyBorder="1" applyAlignment="1" applyProtection="1">
      <alignment horizontal="center" vertical="center"/>
      <protection hidden="1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57" xfId="0" applyFont="1" applyFill="1" applyBorder="1" applyAlignment="1" applyProtection="1">
      <alignment horizontal="center" vertical="center" wrapText="1"/>
      <protection hidden="1"/>
    </xf>
    <xf numFmtId="0" fontId="30" fillId="4" borderId="58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0" fontId="30" fillId="4" borderId="6" xfId="0" applyFont="1" applyFill="1" applyBorder="1" applyAlignment="1" applyProtection="1">
      <alignment horizontal="center" vertical="center" wrapText="1"/>
      <protection hidden="1"/>
    </xf>
    <xf numFmtId="0" fontId="30" fillId="4" borderId="7" xfId="0" applyFont="1" applyFill="1" applyBorder="1" applyAlignment="1" applyProtection="1">
      <alignment horizontal="center" vertical="center" wrapText="1"/>
      <protection hidden="1"/>
    </xf>
    <xf numFmtId="14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25" fillId="4" borderId="46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 applyProtection="1">
      <alignment horizontal="center" wrapText="1"/>
      <protection hidden="1"/>
    </xf>
    <xf numFmtId="0" fontId="30" fillId="2" borderId="17" xfId="0" applyFont="1" applyFill="1" applyBorder="1" applyAlignment="1" applyProtection="1">
      <alignment horizontal="center" vertical="center" wrapText="1"/>
      <protection hidden="1"/>
    </xf>
    <xf numFmtId="0" fontId="30" fillId="2" borderId="9" xfId="0" applyFont="1" applyFill="1" applyBorder="1" applyAlignment="1" applyProtection="1">
      <alignment horizontal="center" vertical="center" wrapText="1"/>
      <protection hidden="1"/>
    </xf>
    <xf numFmtId="0" fontId="30" fillId="2" borderId="10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 wrapText="1"/>
      <protection hidden="1"/>
    </xf>
    <xf numFmtId="0" fontId="26" fillId="2" borderId="56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right" vertical="center" wrapText="1"/>
      <protection hidden="1"/>
    </xf>
    <xf numFmtId="0" fontId="25" fillId="2" borderId="0" xfId="0" applyFont="1" applyFill="1" applyBorder="1" applyAlignment="1"/>
    <xf numFmtId="0" fontId="37" fillId="5" borderId="0" xfId="0" applyFont="1" applyFill="1" applyBorder="1" applyAlignment="1" applyProtection="1">
      <alignment horizontal="center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28" fillId="8" borderId="21" xfId="0" applyFont="1" applyFill="1" applyBorder="1" applyAlignment="1" applyProtection="1">
      <alignment horizontal="center" vertical="center" wrapText="1"/>
      <protection hidden="1"/>
    </xf>
    <xf numFmtId="0" fontId="28" fillId="8" borderId="11" xfId="0" applyFont="1" applyFill="1" applyBorder="1" applyAlignment="1" applyProtection="1">
      <alignment horizontal="center" vertical="center" wrapText="1"/>
      <protection hidden="1"/>
    </xf>
    <xf numFmtId="0" fontId="28" fillId="8" borderId="18" xfId="0" applyFont="1" applyFill="1" applyBorder="1" applyAlignment="1" applyProtection="1">
      <alignment horizontal="center" vertical="center" wrapText="1"/>
      <protection hidden="1"/>
    </xf>
    <xf numFmtId="0" fontId="28" fillId="8" borderId="48" xfId="0" applyFont="1" applyFill="1" applyBorder="1" applyAlignment="1" applyProtection="1">
      <alignment horizontal="center" vertical="center" wrapText="1"/>
      <protection hidden="1"/>
    </xf>
    <xf numFmtId="0" fontId="28" fillId="8" borderId="13" xfId="0" applyFont="1" applyFill="1" applyBorder="1" applyAlignment="1" applyProtection="1">
      <alignment horizontal="center" vertical="center" wrapText="1"/>
      <protection hidden="1"/>
    </xf>
    <xf numFmtId="0" fontId="28" fillId="8" borderId="41" xfId="0" applyFont="1" applyFill="1" applyBorder="1" applyAlignment="1" applyProtection="1">
      <alignment horizontal="center" vertical="center" wrapText="1"/>
      <protection hidden="1"/>
    </xf>
    <xf numFmtId="0" fontId="28" fillId="8" borderId="42" xfId="0" applyFont="1" applyFill="1" applyBorder="1" applyAlignment="1" applyProtection="1">
      <alignment horizontal="center" vertical="center" wrapText="1"/>
      <protection hidden="1"/>
    </xf>
    <xf numFmtId="0" fontId="28" fillId="8" borderId="15" xfId="0" applyFont="1" applyFill="1" applyBorder="1" applyAlignment="1" applyProtection="1">
      <alignment horizontal="center" vertical="center" wrapText="1"/>
      <protection hidden="1"/>
    </xf>
    <xf numFmtId="0" fontId="28" fillId="8" borderId="27" xfId="0" applyFont="1" applyFill="1" applyBorder="1" applyAlignment="1" applyProtection="1">
      <alignment horizontal="center" vertical="center" wrapText="1"/>
      <protection hidden="1"/>
    </xf>
    <xf numFmtId="0" fontId="28" fillId="4" borderId="14" xfId="0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horizontal="center" vertical="center" textRotation="90"/>
      <protection hidden="1"/>
    </xf>
    <xf numFmtId="0" fontId="28" fillId="8" borderId="21" xfId="0" applyFont="1" applyFill="1" applyBorder="1" applyAlignment="1" applyProtection="1">
      <alignment horizontal="center" vertical="center" textRotation="90" wrapText="1"/>
      <protection hidden="1"/>
    </xf>
    <xf numFmtId="0" fontId="28" fillId="8" borderId="11" xfId="0" applyFont="1" applyFill="1" applyBorder="1" applyAlignment="1" applyProtection="1">
      <alignment horizontal="center" vertical="center" textRotation="90" wrapText="1"/>
      <protection hidden="1"/>
    </xf>
    <xf numFmtId="0" fontId="28" fillId="8" borderId="18" xfId="0" applyFont="1" applyFill="1" applyBorder="1" applyAlignment="1" applyProtection="1">
      <alignment horizontal="center" vertical="center" textRotation="90" wrapText="1"/>
      <protection hidden="1"/>
    </xf>
    <xf numFmtId="0" fontId="28" fillId="8" borderId="43" xfId="0" applyFont="1" applyFill="1" applyBorder="1" applyAlignment="1" applyProtection="1">
      <alignment horizontal="center" vertical="center" textRotation="90" wrapText="1"/>
      <protection hidden="1"/>
    </xf>
    <xf numFmtId="0" fontId="28" fillId="8" borderId="16" xfId="0" applyFont="1" applyFill="1" applyBorder="1" applyAlignment="1" applyProtection="1">
      <alignment horizontal="center" vertical="center" textRotation="90" wrapText="1"/>
      <protection hidden="1"/>
    </xf>
    <xf numFmtId="0" fontId="28" fillId="8" borderId="40" xfId="0" applyFont="1" applyFill="1" applyBorder="1" applyAlignment="1" applyProtection="1">
      <alignment horizontal="center" vertical="center" textRotation="90" wrapText="1"/>
      <protection hidden="1"/>
    </xf>
    <xf numFmtId="0" fontId="28" fillId="4" borderId="11" xfId="0" applyFont="1" applyFill="1" applyBorder="1" applyAlignment="1" applyProtection="1">
      <alignment horizontal="center" vertical="center"/>
      <protection hidden="1"/>
    </xf>
    <xf numFmtId="0" fontId="28" fillId="4" borderId="12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 applyProtection="1">
      <alignment horizontal="center" vertical="center" textRotation="90"/>
      <protection hidden="1"/>
    </xf>
    <xf numFmtId="0" fontId="28" fillId="4" borderId="34" xfId="0" applyFont="1" applyFill="1" applyBorder="1" applyAlignment="1" applyProtection="1">
      <alignment horizontal="center" vertical="center" textRotation="90"/>
      <protection hidden="1"/>
    </xf>
    <xf numFmtId="0" fontId="30" fillId="4" borderId="30" xfId="0" applyFont="1" applyFill="1" applyBorder="1" applyAlignment="1" applyProtection="1">
      <alignment horizontal="center" vertical="center" wrapText="1"/>
      <protection hidden="1"/>
    </xf>
    <xf numFmtId="0" fontId="30" fillId="4" borderId="50" xfId="0" applyFont="1" applyFill="1" applyBorder="1" applyAlignment="1" applyProtection="1">
      <alignment horizontal="center" vertical="center" wrapText="1"/>
      <protection hidden="1"/>
    </xf>
    <xf numFmtId="0" fontId="30" fillId="4" borderId="34" xfId="0" applyFont="1" applyFill="1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center" vertical="center" wrapText="1"/>
      <protection hidden="1"/>
    </xf>
    <xf numFmtId="0" fontId="26" fillId="2" borderId="34" xfId="0" applyFont="1" applyFill="1" applyBorder="1" applyAlignment="1" applyProtection="1">
      <alignment horizontal="center" vertical="center" wrapText="1"/>
      <protection hidden="1"/>
    </xf>
    <xf numFmtId="0" fontId="30" fillId="2" borderId="1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/>
    <xf numFmtId="167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47" fillId="2" borderId="6" xfId="0" applyFont="1" applyFill="1" applyBorder="1" applyAlignment="1" applyProtection="1">
      <alignment horizontal="center" wrapText="1"/>
      <protection hidden="1"/>
    </xf>
    <xf numFmtId="0" fontId="24" fillId="0" borderId="0" xfId="1" applyFont="1" applyAlignment="1">
      <alignment horizontal="center" wrapText="1"/>
    </xf>
    <xf numFmtId="0" fontId="36" fillId="4" borderId="21" xfId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left" vertical="center" wrapText="1"/>
    </xf>
    <xf numFmtId="0" fontId="36" fillId="4" borderId="42" xfId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right" vertical="center" wrapText="1"/>
    </xf>
    <xf numFmtId="0" fontId="24" fillId="0" borderId="0" xfId="1" applyFont="1" applyBorder="1" applyAlignment="1">
      <alignment horizontal="center"/>
    </xf>
    <xf numFmtId="0" fontId="36" fillId="4" borderId="49" xfId="1" applyFont="1" applyFill="1" applyBorder="1" applyAlignment="1">
      <alignment horizontal="center" vertical="center" wrapText="1"/>
    </xf>
    <xf numFmtId="0" fontId="36" fillId="4" borderId="53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36" fillId="4" borderId="26" xfId="1" applyFont="1" applyFill="1" applyBorder="1" applyAlignment="1">
      <alignment horizontal="center" vertical="center" wrapText="1"/>
    </xf>
    <xf numFmtId="0" fontId="36" fillId="4" borderId="48" xfId="1" applyFont="1" applyFill="1" applyBorder="1" applyAlignment="1">
      <alignment horizontal="center" vertical="center" wrapText="1"/>
    </xf>
    <xf numFmtId="0" fontId="36" fillId="4" borderId="41" xfId="1" applyFont="1" applyFill="1" applyBorder="1" applyAlignment="1">
      <alignment horizontal="center" vertical="center" wrapText="1"/>
    </xf>
    <xf numFmtId="0" fontId="36" fillId="4" borderId="21" xfId="1" applyFont="1" applyFill="1" applyBorder="1" applyAlignment="1">
      <alignment horizontal="center" vertical="center" textRotation="90" wrapText="1"/>
    </xf>
    <xf numFmtId="0" fontId="36" fillId="4" borderId="18" xfId="1" applyFont="1" applyFill="1" applyBorder="1" applyAlignment="1">
      <alignment horizontal="center" vertical="center" textRotation="90" wrapText="1"/>
    </xf>
    <xf numFmtId="0" fontId="10" fillId="0" borderId="11" xfId="1" applyBorder="1" applyAlignment="1">
      <alignment horizontal="center" wrapText="1"/>
    </xf>
    <xf numFmtId="0" fontId="10" fillId="0" borderId="11" xfId="1" applyBorder="1" applyAlignment="1">
      <alignment horizontal="center"/>
    </xf>
    <xf numFmtId="0" fontId="10" fillId="0" borderId="11" xfId="1" applyBorder="1" applyAlignment="1">
      <alignment horizontal="center" vertical="center" wrapText="1"/>
    </xf>
    <xf numFmtId="0" fontId="10" fillId="0" borderId="11" xfId="1" applyBorder="1" applyAlignment="1">
      <alignment horizontal="center" vertical="center"/>
    </xf>
    <xf numFmtId="0" fontId="33" fillId="0" borderId="0" xfId="1" applyFont="1" applyBorder="1" applyAlignment="1">
      <alignment horizontal="center" vertical="center" wrapText="1"/>
    </xf>
    <xf numFmtId="0" fontId="39" fillId="0" borderId="0" xfId="1" applyFont="1" applyAlignment="1">
      <alignment horizontal="center" wrapText="1"/>
    </xf>
    <xf numFmtId="0" fontId="33" fillId="0" borderId="8" xfId="1" applyFont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9" fillId="5" borderId="0" xfId="1" applyFont="1" applyFill="1" applyBorder="1" applyAlignment="1">
      <alignment horizontal="center" wrapText="1"/>
    </xf>
    <xf numFmtId="0" fontId="30" fillId="5" borderId="0" xfId="0" applyFont="1" applyFill="1" applyBorder="1" applyAlignment="1" applyProtection="1">
      <alignment horizontal="center"/>
      <protection hidden="1"/>
    </xf>
    <xf numFmtId="0" fontId="33" fillId="5" borderId="8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wrapText="1"/>
    </xf>
    <xf numFmtId="0" fontId="33" fillId="5" borderId="0" xfId="1" applyFont="1" applyFill="1" applyBorder="1" applyAlignment="1">
      <alignment horizontal="center" vertical="center" wrapText="1"/>
    </xf>
    <xf numFmtId="0" fontId="30" fillId="5" borderId="8" xfId="0" applyFont="1" applyFill="1" applyBorder="1" applyAlignment="1" applyProtection="1">
      <alignment horizontal="right"/>
      <protection hidden="1"/>
    </xf>
    <xf numFmtId="0" fontId="30" fillId="5" borderId="50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35" fillId="9" borderId="47" xfId="1" applyFont="1" applyFill="1" applyBorder="1" applyAlignment="1">
      <alignment horizontal="center" vertical="center" textRotation="90" wrapText="1"/>
    </xf>
    <xf numFmtId="0" fontId="35" fillId="9" borderId="59" xfId="1" applyFont="1" applyFill="1" applyBorder="1" applyAlignment="1">
      <alignment horizontal="center" vertical="center" textRotation="90" wrapText="1"/>
    </xf>
    <xf numFmtId="0" fontId="35" fillId="9" borderId="60" xfId="1" applyFont="1" applyFill="1" applyBorder="1" applyAlignment="1">
      <alignment horizontal="center" vertical="center" textRotation="90" wrapText="1"/>
    </xf>
    <xf numFmtId="0" fontId="35" fillId="9" borderId="61" xfId="1" applyFont="1" applyFill="1" applyBorder="1" applyAlignment="1">
      <alignment horizontal="center" vertical="center" wrapText="1"/>
    </xf>
    <xf numFmtId="0" fontId="35" fillId="9" borderId="62" xfId="1" applyFont="1" applyFill="1" applyBorder="1" applyAlignment="1">
      <alignment horizontal="center" vertical="center" wrapText="1"/>
    </xf>
    <xf numFmtId="0" fontId="35" fillId="9" borderId="63" xfId="1" applyFont="1" applyFill="1" applyBorder="1" applyAlignment="1">
      <alignment horizontal="center" vertical="center" wrapText="1"/>
    </xf>
    <xf numFmtId="0" fontId="35" fillId="6" borderId="43" xfId="1" applyFont="1" applyFill="1" applyBorder="1" applyAlignment="1">
      <alignment horizontal="center" vertical="center" wrapText="1"/>
    </xf>
    <xf numFmtId="0" fontId="35" fillId="6" borderId="16" xfId="1" applyFont="1" applyFill="1" applyBorder="1" applyAlignment="1">
      <alignment horizontal="center" vertical="center" wrapText="1"/>
    </xf>
    <xf numFmtId="0" fontId="35" fillId="6" borderId="31" xfId="1" applyFont="1" applyFill="1" applyBorder="1" applyAlignment="1">
      <alignment horizontal="center" vertical="center" wrapText="1"/>
    </xf>
    <xf numFmtId="0" fontId="35" fillId="6" borderId="22" xfId="1" applyFont="1" applyFill="1" applyBorder="1" applyAlignment="1">
      <alignment horizontal="center" vertical="center" wrapText="1"/>
    </xf>
    <xf numFmtId="0" fontId="35" fillId="6" borderId="49" xfId="1" applyFont="1" applyFill="1" applyBorder="1" applyAlignment="1">
      <alignment horizontal="center" vertical="center" wrapText="1"/>
    </xf>
    <xf numFmtId="0" fontId="35" fillId="6" borderId="64" xfId="1" applyFont="1" applyFill="1" applyBorder="1" applyAlignment="1">
      <alignment horizontal="center" vertical="center" wrapText="1"/>
    </xf>
    <xf numFmtId="0" fontId="35" fillId="4" borderId="47" xfId="1" applyFont="1" applyFill="1" applyBorder="1" applyAlignment="1">
      <alignment horizontal="center" vertical="center" wrapText="1"/>
    </xf>
    <xf numFmtId="0" fontId="35" fillId="4" borderId="59" xfId="1" applyFont="1" applyFill="1" applyBorder="1" applyAlignment="1">
      <alignment horizontal="center" vertical="center" wrapText="1"/>
    </xf>
    <xf numFmtId="0" fontId="35" fillId="4" borderId="60" xfId="1" applyFont="1" applyFill="1" applyBorder="1" applyAlignment="1">
      <alignment horizontal="center" vertical="center" wrapText="1"/>
    </xf>
    <xf numFmtId="0" fontId="35" fillId="4" borderId="22" xfId="1" applyFont="1" applyFill="1" applyBorder="1" applyAlignment="1">
      <alignment horizontal="center" vertical="center" wrapText="1"/>
    </xf>
    <xf numFmtId="0" fontId="35" fillId="4" borderId="65" xfId="1" applyFont="1" applyFill="1" applyBorder="1" applyAlignment="1">
      <alignment horizontal="center" vertical="center" wrapText="1"/>
    </xf>
    <xf numFmtId="0" fontId="35" fillId="4" borderId="49" xfId="1" applyFont="1" applyFill="1" applyBorder="1" applyAlignment="1">
      <alignment horizontal="center" vertical="center" wrapText="1"/>
    </xf>
    <xf numFmtId="0" fontId="35" fillId="4" borderId="64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textRotation="90" wrapText="1"/>
    </xf>
    <xf numFmtId="0" fontId="35" fillId="6" borderId="13" xfId="1" applyFont="1" applyFill="1" applyBorder="1" applyAlignment="1">
      <alignment horizontal="center" vertical="center" textRotation="90" wrapText="1"/>
    </xf>
    <xf numFmtId="0" fontId="35" fillId="6" borderId="11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wrapText="1"/>
    </xf>
    <xf numFmtId="0" fontId="35" fillId="4" borderId="17" xfId="1" applyFont="1" applyFill="1" applyBorder="1" applyAlignment="1">
      <alignment horizontal="center" vertical="center" wrapText="1"/>
    </xf>
    <xf numFmtId="0" fontId="35" fillId="4" borderId="10" xfId="1" applyFont="1" applyFill="1" applyBorder="1" applyAlignment="1">
      <alignment horizontal="center" vertical="center" wrapText="1"/>
    </xf>
    <xf numFmtId="0" fontId="35" fillId="4" borderId="3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Решаемость заданий по истории в сравнении с "коридором" ожидаемой решаемости </a:t>
            </a:r>
            <a:endParaRPr lang="ru-RU" sz="1600">
              <a:effectLst/>
            </a:endParaRPr>
          </a:p>
        </c:rich>
      </c:tx>
      <c:layout>
        <c:manualLayout>
          <c:xMode val="edge"/>
          <c:yMode val="edge"/>
          <c:x val="0.11004557420013222"/>
          <c:y val="1.76389091947061E-2"/>
        </c:manualLayout>
      </c:layout>
    </c:title>
    <c:plotArea>
      <c:layout>
        <c:manualLayout>
          <c:layoutTarget val="inner"/>
          <c:xMode val="edge"/>
          <c:yMode val="edge"/>
          <c:x val="6.6273932253313711E-2"/>
          <c:y val="8.7533156498673742E-2"/>
          <c:w val="0.93078055964653905"/>
          <c:h val="0.79840848806366049"/>
        </c:manualLayout>
      </c:layout>
      <c:areaChart>
        <c:grouping val="stacked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numRef>
              <c:f>Коридор!$C$4:$T$4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Коридор!$C$9:$T$9</c:f>
              <c:numCache>
                <c:formatCode>0%</c:formatCode>
                <c:ptCount val="1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0.6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numRef>
              <c:f>Коридор!$C$4:$T$4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Коридор!$C$8:$T$8</c:f>
              <c:numCache>
                <c:formatCode>0%</c:formatCode>
                <c:ptCount val="1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0.3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</c:ser>
        <c:axId val="60454016"/>
        <c:axId val="60455936"/>
      </c:areaChart>
      <c:scatterChart>
        <c:scatterStyle val="lineMarker"/>
        <c:ser>
          <c:idx val="2"/>
          <c:order val="2"/>
          <c:tx>
            <c:strRef>
              <c:f>Коридор!$A$7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Коридор!$C$7:$T$7</c:f>
              <c:numCache>
                <c:formatCode>0.0%</c:formatCode>
                <c:ptCount val="18"/>
                <c:pt idx="0">
                  <c:v>0.875</c:v>
                </c:pt>
                <c:pt idx="1">
                  <c:v>0.91666666666666663</c:v>
                </c:pt>
                <c:pt idx="2">
                  <c:v>0.79166666666666663</c:v>
                </c:pt>
                <c:pt idx="3">
                  <c:v>0.58333333333333337</c:v>
                </c:pt>
                <c:pt idx="4">
                  <c:v>0.70833333333333337</c:v>
                </c:pt>
                <c:pt idx="5">
                  <c:v>0.75</c:v>
                </c:pt>
                <c:pt idx="6">
                  <c:v>0.375</c:v>
                </c:pt>
                <c:pt idx="7">
                  <c:v>0.625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0.5</c:v>
                </c:pt>
                <c:pt idx="11">
                  <c:v>0.625</c:v>
                </c:pt>
                <c:pt idx="12">
                  <c:v>0.875</c:v>
                </c:pt>
                <c:pt idx="13">
                  <c:v>0.70833333333333337</c:v>
                </c:pt>
                <c:pt idx="14">
                  <c:v>0.83333333333333337</c:v>
                </c:pt>
                <c:pt idx="15">
                  <c:v>0.45833333333333331</c:v>
                </c:pt>
                <c:pt idx="16">
                  <c:v>0.75</c:v>
                </c:pt>
                <c:pt idx="17">
                  <c:v>0</c:v>
                </c:pt>
              </c:numCache>
            </c:numRef>
          </c:yVal>
        </c:ser>
        <c:axId val="60454016"/>
        <c:axId val="60455936"/>
      </c:scatterChart>
      <c:catAx>
        <c:axId val="60454016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60455936"/>
        <c:crosses val="autoZero"/>
        <c:auto val="1"/>
        <c:lblAlgn val="ctr"/>
        <c:lblOffset val="100"/>
        <c:tickLblSkip val="1"/>
      </c:catAx>
      <c:valAx>
        <c:axId val="60455936"/>
        <c:scaling>
          <c:orientation val="minMax"/>
        </c:scaling>
        <c:axPos val="l"/>
        <c:numFmt formatCode="0%" sourceLinked="1"/>
        <c:tickLblPos val="nextTo"/>
        <c:crossAx val="60454016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6970997182053288E-2"/>
          <c:y val="0.67551341228235062"/>
          <c:w val="0.53209993080761819"/>
          <c:h val="0.20872504995231045"/>
        </c:manualLayout>
      </c:layout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5979608463855449E-3"/>
          <c:y val="4.1474903594219376E-2"/>
          <c:w val="0.96911780621926724"/>
          <c:h val="0.9310668317760511"/>
        </c:manualLayout>
      </c:layout>
      <c:pie3DChart>
        <c:varyColors val="1"/>
        <c:ser>
          <c:idx val="0"/>
          <c:order val="0"/>
          <c:dPt>
            <c:idx val="0"/>
            <c:explosion val="10"/>
          </c:dPt>
          <c:dPt>
            <c:idx val="1"/>
            <c:explosion val="7"/>
          </c:dPt>
          <c:dPt>
            <c:idx val="2"/>
            <c:explosion val="6"/>
          </c:dPt>
          <c:dPt>
            <c:idx val="3"/>
            <c:explosion val="6"/>
          </c:dPt>
          <c:dLbls>
            <c:dLbl>
              <c:idx val="0"/>
              <c:layout>
                <c:manualLayout>
                  <c:x val="-0.158016070671672"/>
                  <c:y val="7.369573029221042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(Уровни!$D$9,Уровни!$F$9,Уровни!$H$9,Уровни!$J$9,Уровни!$L$9)</c:f>
              <c:strCache>
                <c:ptCount val="5"/>
                <c:pt idx="0">
                  <c:v>Низкий</c:v>
                </c:pt>
                <c:pt idx="1">
                  <c:v>Пониженный</c:v>
                </c:pt>
                <c:pt idx="2">
                  <c:v>Базовый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(Уровни!$D$8,Уровни!$F$8,Уровни!$H$8,Уровни!$J$8,Уровни!$L$8)</c:f>
              <c:numCache>
                <c:formatCode>0.0%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0.66666666666666663</c:v>
                </c:pt>
                <c:pt idx="3">
                  <c:v>0.125</c:v>
                </c:pt>
                <c:pt idx="4">
                  <c:v>8.3333333333333329E-2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400" b="1">
                <a:latin typeface="+mj-lt"/>
              </a:defRPr>
            </a:pPr>
            <a:r>
              <a:rPr lang="ru-RU" sz="1400" b="1">
                <a:latin typeface="+mj-lt"/>
              </a:rPr>
              <a:t>Успешность выполнения всей</a:t>
            </a:r>
            <a:r>
              <a:rPr lang="ru-RU" sz="1400" b="1" baseline="0">
                <a:latin typeface="+mj-lt"/>
              </a:rPr>
              <a:t> работы</a:t>
            </a:r>
            <a:endParaRPr lang="ru-RU" sz="1400" b="1">
              <a:latin typeface="+mj-lt"/>
            </a:endParaRPr>
          </a:p>
        </c:rich>
      </c:tx>
      <c:layout>
        <c:manualLayout>
          <c:xMode val="edge"/>
          <c:yMode val="edge"/>
          <c:x val="0.34063992734046089"/>
          <c:y val="1.2260630541749657E-2"/>
        </c:manualLayout>
      </c:layout>
      <c:overlay val="1"/>
    </c:title>
    <c:plotArea>
      <c:layout>
        <c:manualLayout>
          <c:layoutTarget val="inner"/>
          <c:xMode val="edge"/>
          <c:yMode val="edge"/>
          <c:x val="9.0349075975359364E-2"/>
          <c:y val="0.12056765423605169"/>
          <c:w val="0.88090349075975349"/>
          <c:h val="0.76359514349499402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Результаты_Класс!$AH$20:$AH$59</c:f>
              <c:numCache>
                <c:formatCode>0%</c:formatCode>
                <c:ptCount val="40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</c:numCache>
            </c:numRef>
          </c:yVal>
          <c:smooth val="1"/>
        </c:ser>
        <c:axId val="61051648"/>
        <c:axId val="61053568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Результаты_Класс!$AA$20:$AA$58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0.64</c:v>
                </c:pt>
                <c:pt idx="5">
                  <c:v>0.52</c:v>
                </c:pt>
                <c:pt idx="6">
                  <c:v>0.88</c:v>
                </c:pt>
                <c:pt idx="7">
                  <c:v>0.6</c:v>
                </c:pt>
                <c:pt idx="8">
                  <c:v>0.64</c:v>
                </c:pt>
                <c:pt idx="9">
                  <c:v>0.44</c:v>
                </c:pt>
                <c:pt idx="10">
                  <c:v>0.52</c:v>
                </c:pt>
                <c:pt idx="11">
                  <c:v>0.56000000000000005</c:v>
                </c:pt>
                <c:pt idx="12">
                  <c:v>0.68</c:v>
                </c:pt>
                <c:pt idx="13">
                  <c:v>0</c:v>
                </c:pt>
                <c:pt idx="14">
                  <c:v>0.4</c:v>
                </c:pt>
                <c:pt idx="15">
                  <c:v>0.52</c:v>
                </c:pt>
                <c:pt idx="16">
                  <c:v>0.52</c:v>
                </c:pt>
                <c:pt idx="17">
                  <c:v>0.92</c:v>
                </c:pt>
                <c:pt idx="18">
                  <c:v>0.76</c:v>
                </c:pt>
                <c:pt idx="19">
                  <c:v>0.68</c:v>
                </c:pt>
                <c:pt idx="20">
                  <c:v>0.4</c:v>
                </c:pt>
                <c:pt idx="21">
                  <c:v>0.36</c:v>
                </c:pt>
                <c:pt idx="22">
                  <c:v>0.64</c:v>
                </c:pt>
                <c:pt idx="23">
                  <c:v>0.68</c:v>
                </c:pt>
                <c:pt idx="24">
                  <c:v>0.68</c:v>
                </c:pt>
                <c:pt idx="25">
                  <c:v>0.92</c:v>
                </c:pt>
                <c:pt idx="26">
                  <c:v>0.84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</c:ser>
        <c:axId val="61051648"/>
        <c:axId val="61053568"/>
      </c:scatterChart>
      <c:valAx>
        <c:axId val="6105164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053568"/>
        <c:crosses val="autoZero"/>
        <c:crossBetween val="midCat"/>
        <c:majorUnit val="1"/>
      </c:valAx>
      <c:valAx>
        <c:axId val="61053568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j-lt"/>
                    <a:ea typeface="Calibri"/>
                    <a:cs typeface="Calibri"/>
                  </a:defRPr>
                </a:pPr>
                <a:r>
                  <a:rPr lang="ru-RU">
                    <a:latin typeface="+mj-lt"/>
                  </a:rPr>
                  <a:t>Процент выполнения всей работы</a:t>
                </a:r>
              </a:p>
            </c:rich>
          </c:tx>
        </c:title>
        <c:numFmt formatCode="0%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0516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189587005436678"/>
          <c:y val="1.8584166340909525E-2"/>
          <c:w val="0.18090347210997457"/>
          <c:h val="5.5745301340878503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Выполнение заданий базового уровня</a:t>
            </a:r>
          </a:p>
        </c:rich>
      </c:tx>
    </c:title>
    <c:plotArea>
      <c:layout>
        <c:manualLayout>
          <c:layoutTarget val="inner"/>
          <c:xMode val="edge"/>
          <c:yMode val="edge"/>
          <c:x val="5.7242582897033184E-2"/>
          <c:y val="0.10881250188554016"/>
          <c:w val="0.91553272594852297"/>
          <c:h val="0.72107448637885863"/>
        </c:manualLayout>
      </c:layout>
      <c:scatterChart>
        <c:scatterStyle val="smoothMarker"/>
        <c:ser>
          <c:idx val="1"/>
          <c:order val="1"/>
          <c:tx>
            <c:v>Уровень обязательной подготовки (не менее 11 баллов)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Результаты_Класс!$AI$20:$AI$59</c:f>
              <c:numCache>
                <c:formatCode>General</c:formatCode>
                <c:ptCount val="40"/>
                <c:pt idx="0">
                  <c:v>15.625</c:v>
                </c:pt>
                <c:pt idx="1">
                  <c:v>15.625</c:v>
                </c:pt>
                <c:pt idx="2">
                  <c:v>15.625</c:v>
                </c:pt>
                <c:pt idx="3">
                  <c:v>15.625</c:v>
                </c:pt>
                <c:pt idx="4">
                  <c:v>15.625</c:v>
                </c:pt>
                <c:pt idx="5">
                  <c:v>15.625</c:v>
                </c:pt>
                <c:pt idx="6">
                  <c:v>15.625</c:v>
                </c:pt>
                <c:pt idx="7">
                  <c:v>15.625</c:v>
                </c:pt>
                <c:pt idx="8">
                  <c:v>15.625</c:v>
                </c:pt>
                <c:pt idx="9">
                  <c:v>15.625</c:v>
                </c:pt>
                <c:pt idx="10">
                  <c:v>15.625</c:v>
                </c:pt>
                <c:pt idx="11">
                  <c:v>15.625</c:v>
                </c:pt>
                <c:pt idx="12">
                  <c:v>15.625</c:v>
                </c:pt>
                <c:pt idx="13">
                  <c:v>15.625</c:v>
                </c:pt>
                <c:pt idx="14">
                  <c:v>15.625</c:v>
                </c:pt>
                <c:pt idx="15">
                  <c:v>15.625</c:v>
                </c:pt>
                <c:pt idx="16">
                  <c:v>15.625</c:v>
                </c:pt>
                <c:pt idx="17">
                  <c:v>15.625</c:v>
                </c:pt>
                <c:pt idx="18">
                  <c:v>15.625</c:v>
                </c:pt>
                <c:pt idx="19">
                  <c:v>15.625</c:v>
                </c:pt>
                <c:pt idx="20">
                  <c:v>15.625</c:v>
                </c:pt>
                <c:pt idx="21">
                  <c:v>15.625</c:v>
                </c:pt>
                <c:pt idx="22">
                  <c:v>15.625</c:v>
                </c:pt>
                <c:pt idx="23">
                  <c:v>15.625</c:v>
                </c:pt>
                <c:pt idx="24">
                  <c:v>15.625</c:v>
                </c:pt>
                <c:pt idx="25">
                  <c:v>15.625</c:v>
                </c:pt>
                <c:pt idx="26">
                  <c:v>15.625</c:v>
                </c:pt>
                <c:pt idx="27">
                  <c:v>15.625</c:v>
                </c:pt>
                <c:pt idx="28">
                  <c:v>15.625</c:v>
                </c:pt>
                <c:pt idx="29">
                  <c:v>15.625</c:v>
                </c:pt>
                <c:pt idx="30">
                  <c:v>15.625</c:v>
                </c:pt>
                <c:pt idx="31">
                  <c:v>15.625</c:v>
                </c:pt>
                <c:pt idx="32">
                  <c:v>15.625</c:v>
                </c:pt>
                <c:pt idx="33">
                  <c:v>15.625</c:v>
                </c:pt>
                <c:pt idx="34">
                  <c:v>15.625</c:v>
                </c:pt>
                <c:pt idx="35">
                  <c:v>15.625</c:v>
                </c:pt>
                <c:pt idx="36">
                  <c:v>15.625</c:v>
                </c:pt>
                <c:pt idx="37">
                  <c:v>15.625</c:v>
                </c:pt>
                <c:pt idx="38">
                  <c:v>15.625</c:v>
                </c:pt>
                <c:pt idx="39">
                  <c:v>15.625</c:v>
                </c:pt>
              </c:numCache>
            </c:numRef>
          </c:yVal>
          <c:smooth val="1"/>
        </c:ser>
        <c:axId val="59818752"/>
        <c:axId val="59820672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Результаты_Класс!$AB$20:$AB$59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9</c:v>
                </c:pt>
                <c:pt idx="16">
                  <c:v>7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59818752"/>
        <c:axId val="59820672"/>
      </c:scatterChart>
      <c:valAx>
        <c:axId val="598187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59820672"/>
        <c:crosses val="autoZero"/>
        <c:crossBetween val="midCat"/>
        <c:majorUnit val="1"/>
      </c:valAx>
      <c:valAx>
        <c:axId val="59820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количество  заданий базового уровня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59818752"/>
        <c:crosses val="autoZero"/>
        <c:crossBetween val="midCat"/>
      </c:valAx>
    </c:plotArea>
    <c:legend>
      <c:legendPos val="b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Процент выполнения заданий базового уровня</a:t>
            </a:r>
          </a:p>
        </c:rich>
      </c:tx>
      <c:layout>
        <c:manualLayout>
          <c:xMode val="edge"/>
          <c:yMode val="edge"/>
          <c:x val="0.27026376162580951"/>
          <c:y val="3.1098236466261142E-2"/>
        </c:manualLayout>
      </c:layout>
    </c:title>
    <c:plotArea>
      <c:layout>
        <c:manualLayout>
          <c:layoutTarget val="inner"/>
          <c:xMode val="edge"/>
          <c:yMode val="edge"/>
          <c:x val="4.959349081364843E-2"/>
          <c:y val="0.10881249599897569"/>
          <c:w val="0.92086603674540679"/>
          <c:h val="0.77011663197272751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Результаты_Класс!$AJ$20:$AJ$59</c:f>
              <c:numCache>
                <c:formatCode>0.0</c:formatCode>
                <c:ptCount val="40"/>
                <c:pt idx="0">
                  <c:v>74.621212121212125</c:v>
                </c:pt>
                <c:pt idx="1">
                  <c:v>74.621212121212125</c:v>
                </c:pt>
                <c:pt idx="2">
                  <c:v>74.621212121212125</c:v>
                </c:pt>
                <c:pt idx="3">
                  <c:v>74.621212121212125</c:v>
                </c:pt>
                <c:pt idx="4">
                  <c:v>74.621212121212125</c:v>
                </c:pt>
                <c:pt idx="5">
                  <c:v>74.621212121212125</c:v>
                </c:pt>
                <c:pt idx="6">
                  <c:v>74.621212121212125</c:v>
                </c:pt>
                <c:pt idx="7">
                  <c:v>74.621212121212125</c:v>
                </c:pt>
                <c:pt idx="8">
                  <c:v>74.621212121212125</c:v>
                </c:pt>
                <c:pt idx="9">
                  <c:v>74.621212121212125</c:v>
                </c:pt>
                <c:pt idx="10">
                  <c:v>74.621212121212125</c:v>
                </c:pt>
                <c:pt idx="11">
                  <c:v>74.621212121212125</c:v>
                </c:pt>
                <c:pt idx="12">
                  <c:v>74.621212121212125</c:v>
                </c:pt>
                <c:pt idx="13">
                  <c:v>74.621212121212125</c:v>
                </c:pt>
                <c:pt idx="14">
                  <c:v>74.621212121212125</c:v>
                </c:pt>
                <c:pt idx="15">
                  <c:v>74.621212121212125</c:v>
                </c:pt>
                <c:pt idx="16">
                  <c:v>74.621212121212125</c:v>
                </c:pt>
                <c:pt idx="17">
                  <c:v>74.621212121212125</c:v>
                </c:pt>
                <c:pt idx="18">
                  <c:v>74.621212121212125</c:v>
                </c:pt>
                <c:pt idx="19">
                  <c:v>74.621212121212125</c:v>
                </c:pt>
                <c:pt idx="20">
                  <c:v>74.621212121212125</c:v>
                </c:pt>
                <c:pt idx="21">
                  <c:v>74.621212121212125</c:v>
                </c:pt>
                <c:pt idx="22">
                  <c:v>74.621212121212125</c:v>
                </c:pt>
                <c:pt idx="23">
                  <c:v>74.621212121212125</c:v>
                </c:pt>
                <c:pt idx="24">
                  <c:v>74.621212121212125</c:v>
                </c:pt>
                <c:pt idx="25">
                  <c:v>74.621212121212125</c:v>
                </c:pt>
                <c:pt idx="26">
                  <c:v>74.621212121212125</c:v>
                </c:pt>
                <c:pt idx="27">
                  <c:v>74.621212121212125</c:v>
                </c:pt>
                <c:pt idx="28">
                  <c:v>74.621212121212125</c:v>
                </c:pt>
                <c:pt idx="29">
                  <c:v>74.621212121212125</c:v>
                </c:pt>
                <c:pt idx="30">
                  <c:v>74.621212121212125</c:v>
                </c:pt>
                <c:pt idx="31">
                  <c:v>74.621212121212125</c:v>
                </c:pt>
                <c:pt idx="32">
                  <c:v>74.621212121212125</c:v>
                </c:pt>
                <c:pt idx="33">
                  <c:v>74.621212121212125</c:v>
                </c:pt>
                <c:pt idx="34">
                  <c:v>74.621212121212125</c:v>
                </c:pt>
                <c:pt idx="35">
                  <c:v>74.621212121212125</c:v>
                </c:pt>
                <c:pt idx="36">
                  <c:v>74.621212121212125</c:v>
                </c:pt>
                <c:pt idx="37">
                  <c:v>74.621212121212125</c:v>
                </c:pt>
                <c:pt idx="38">
                  <c:v>74.621212121212125</c:v>
                </c:pt>
                <c:pt idx="39">
                  <c:v>74.621212121212125</c:v>
                </c:pt>
              </c:numCache>
            </c:numRef>
          </c:yVal>
          <c:smooth val="1"/>
        </c:ser>
        <c:axId val="61186432"/>
        <c:axId val="61188352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Результаты_Класс!$C$20:$C$58</c:f>
              <c:str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strCache>
            </c:strRef>
          </c:xVal>
          <c:yVal>
            <c:numRef>
              <c:f>Результаты_Класс!$AC$20:$AC$59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81.818181818181827</c:v>
                </c:pt>
                <c:pt idx="3">
                  <c:v>72.727272727272734</c:v>
                </c:pt>
                <c:pt idx="4">
                  <c:v>81.818181818181827</c:v>
                </c:pt>
                <c:pt idx="5">
                  <c:v>81.818181818181827</c:v>
                </c:pt>
                <c:pt idx="6">
                  <c:v>90.909090909090907</c:v>
                </c:pt>
                <c:pt idx="7">
                  <c:v>63.636363636363633</c:v>
                </c:pt>
                <c:pt idx="8">
                  <c:v>81.818181818181827</c:v>
                </c:pt>
                <c:pt idx="9">
                  <c:v>54.54545454545454</c:v>
                </c:pt>
                <c:pt idx="10">
                  <c:v>45.454545454545453</c:v>
                </c:pt>
                <c:pt idx="11">
                  <c:v>63.636363636363633</c:v>
                </c:pt>
                <c:pt idx="12">
                  <c:v>63.636363636363633</c:v>
                </c:pt>
                <c:pt idx="13">
                  <c:v>0</c:v>
                </c:pt>
                <c:pt idx="14">
                  <c:v>45.454545454545453</c:v>
                </c:pt>
                <c:pt idx="15">
                  <c:v>81.818181818181827</c:v>
                </c:pt>
                <c:pt idx="16">
                  <c:v>63.636363636363633</c:v>
                </c:pt>
                <c:pt idx="17">
                  <c:v>100</c:v>
                </c:pt>
                <c:pt idx="18">
                  <c:v>90.909090909090907</c:v>
                </c:pt>
                <c:pt idx="19">
                  <c:v>63.636363636363633</c:v>
                </c:pt>
                <c:pt idx="20">
                  <c:v>54.54545454545454</c:v>
                </c:pt>
                <c:pt idx="21">
                  <c:v>54.54545454545454</c:v>
                </c:pt>
                <c:pt idx="22">
                  <c:v>81.818181818181827</c:v>
                </c:pt>
                <c:pt idx="23">
                  <c:v>81.818181818181827</c:v>
                </c:pt>
                <c:pt idx="24">
                  <c:v>90.909090909090907</c:v>
                </c:pt>
                <c:pt idx="25">
                  <c:v>100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61186432"/>
        <c:axId val="61188352"/>
      </c:scatterChart>
      <c:valAx>
        <c:axId val="611864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188352"/>
        <c:crosses val="autoZero"/>
        <c:crossBetween val="midCat"/>
        <c:majorUnit val="1"/>
      </c:valAx>
      <c:valAx>
        <c:axId val="61188352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процент выполнения  заданий базового уровня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1864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669740259382659"/>
          <c:y val="2.9205839236650606E-2"/>
          <c:w val="0.18053181967154419"/>
          <c:h val="5.4319297044391285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Базовый_3!$A$6</c:f>
              <c:strCache>
                <c:ptCount val="1"/>
                <c:pt idx="0">
                  <c:v>Доля учащихся полностьювы полнивших задание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numRef>
              <c:f>Базовый_3!$B$4:$L$4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Базовый_3!$B$6:$L$6</c:f>
              <c:numCache>
                <c:formatCode>0.0</c:formatCode>
                <c:ptCount val="11"/>
                <c:pt idx="0">
                  <c:v>87.5</c:v>
                </c:pt>
                <c:pt idx="1">
                  <c:v>91.666666666666657</c:v>
                </c:pt>
                <c:pt idx="2">
                  <c:v>79.166666666666657</c:v>
                </c:pt>
                <c:pt idx="3">
                  <c:v>58.333333333333336</c:v>
                </c:pt>
                <c:pt idx="4">
                  <c:v>70.833333333333343</c:v>
                </c:pt>
                <c:pt idx="5">
                  <c:v>75</c:v>
                </c:pt>
                <c:pt idx="6">
                  <c:v>37.5</c:v>
                </c:pt>
                <c:pt idx="7">
                  <c:v>62.5</c:v>
                </c:pt>
                <c:pt idx="8">
                  <c:v>66.666666666666657</c:v>
                </c:pt>
                <c:pt idx="9">
                  <c:v>66.666666666666657</c:v>
                </c:pt>
                <c:pt idx="10">
                  <c:v>50</c:v>
                </c:pt>
              </c:numCache>
            </c:numRef>
          </c:val>
        </c:ser>
        <c:shape val="box"/>
        <c:axId val="61114624"/>
        <c:axId val="61116800"/>
        <c:axId val="0"/>
      </c:bar3DChart>
      <c:catAx>
        <c:axId val="6111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Номер задания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116800"/>
        <c:crosses val="autoZero"/>
        <c:auto val="1"/>
        <c:lblAlgn val="ctr"/>
        <c:lblOffset val="100"/>
      </c:catAx>
      <c:valAx>
        <c:axId val="61116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ru-RU" sz="1100">
                    <a:latin typeface="+mj-lt"/>
                  </a:rPr>
                  <a:t>Доля выполнения задания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11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Выполнение заданий повышенного уровня </a:t>
            </a:r>
          </a:p>
        </c:rich>
      </c:tx>
      <c:layout>
        <c:manualLayout>
          <c:xMode val="edge"/>
          <c:yMode val="edge"/>
          <c:x val="0.3874807430752466"/>
          <c:y val="2.8004822567910745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9146310911836151"/>
          <c:y val="0.1155944667755692"/>
          <c:w val="0.79142292744328779"/>
          <c:h val="0.62153699319053668"/>
        </c:manualLayout>
      </c:layout>
      <c:bar3DChart>
        <c:barDir val="col"/>
        <c:grouping val="clustered"/>
        <c:ser>
          <c:idx val="2"/>
          <c:order val="0"/>
          <c:tx>
            <c:strRef>
              <c:f>Пов_1!$E$6</c:f>
              <c:strCache>
                <c:ptCount val="1"/>
                <c:pt idx="0">
                  <c:v>2 балла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Пов_1!$A$7:$A$13</c:f>
              <c:strCache>
                <c:ptCount val="7"/>
                <c:pt idx="0">
                  <c:v>Задание 7</c:v>
                </c:pt>
                <c:pt idx="1">
                  <c:v>Задание 8</c:v>
                </c:pt>
                <c:pt idx="2">
                  <c:v>Задание 9</c:v>
                </c:pt>
                <c:pt idx="3">
                  <c:v>Задание 12</c:v>
                </c:pt>
                <c:pt idx="4">
                  <c:v>Задание 16</c:v>
                </c:pt>
                <c:pt idx="5">
                  <c:v>Задание 17</c:v>
                </c:pt>
                <c:pt idx="6">
                  <c:v>Задание 18</c:v>
                </c:pt>
              </c:strCache>
            </c:strRef>
          </c:cat>
          <c:val>
            <c:numRef>
              <c:f>Пов_1!$E$7:$E$13</c:f>
              <c:numCache>
                <c:formatCode>0.0</c:formatCode>
                <c:ptCount val="7"/>
                <c:pt idx="0">
                  <c:v>37.5</c:v>
                </c:pt>
                <c:pt idx="1">
                  <c:v>62.5</c:v>
                </c:pt>
                <c:pt idx="2">
                  <c:v>66.666666666666657</c:v>
                </c:pt>
                <c:pt idx="3">
                  <c:v>62.5</c:v>
                </c:pt>
                <c:pt idx="4">
                  <c:v>45.833333333333329</c:v>
                </c:pt>
                <c:pt idx="5">
                  <c:v>75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Пов_1!$G$6</c:f>
              <c:strCache>
                <c:ptCount val="1"/>
                <c:pt idx="0">
                  <c:v>1 балл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Пов_1!$A$7:$A$13</c:f>
              <c:strCache>
                <c:ptCount val="7"/>
                <c:pt idx="0">
                  <c:v>Задание 7</c:v>
                </c:pt>
                <c:pt idx="1">
                  <c:v>Задание 8</c:v>
                </c:pt>
                <c:pt idx="2">
                  <c:v>Задание 9</c:v>
                </c:pt>
                <c:pt idx="3">
                  <c:v>Задание 12</c:v>
                </c:pt>
                <c:pt idx="4">
                  <c:v>Задание 16</c:v>
                </c:pt>
                <c:pt idx="5">
                  <c:v>Задание 17</c:v>
                </c:pt>
                <c:pt idx="6">
                  <c:v>Задание 18</c:v>
                </c:pt>
              </c:strCache>
            </c:strRef>
          </c:cat>
          <c:val>
            <c:numRef>
              <c:f>Пов_1!$G$7:$G$13</c:f>
              <c:numCache>
                <c:formatCode>0.0</c:formatCode>
                <c:ptCount val="7"/>
                <c:pt idx="4">
                  <c:v>41.666666666666671</c:v>
                </c:pt>
              </c:numCache>
            </c:numRef>
          </c:val>
        </c:ser>
        <c:ser>
          <c:idx val="6"/>
          <c:order val="2"/>
          <c:tx>
            <c:strRef>
              <c:f>Пов_1!$I$6</c:f>
              <c:strCache>
                <c:ptCount val="1"/>
                <c:pt idx="0">
                  <c:v>Выполнили неверно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Пов_1!$A$7:$A$13</c:f>
              <c:strCache>
                <c:ptCount val="7"/>
                <c:pt idx="0">
                  <c:v>Задание 7</c:v>
                </c:pt>
                <c:pt idx="1">
                  <c:v>Задание 8</c:v>
                </c:pt>
                <c:pt idx="2">
                  <c:v>Задание 9</c:v>
                </c:pt>
                <c:pt idx="3">
                  <c:v>Задание 12</c:v>
                </c:pt>
                <c:pt idx="4">
                  <c:v>Задание 16</c:v>
                </c:pt>
                <c:pt idx="5">
                  <c:v>Задание 17</c:v>
                </c:pt>
                <c:pt idx="6">
                  <c:v>Задание 18</c:v>
                </c:pt>
              </c:strCache>
            </c:strRef>
          </c:cat>
          <c:val>
            <c:numRef>
              <c:f>Пов_1!$I$7:$I$13</c:f>
              <c:numCache>
                <c:formatCode>0.0</c:formatCode>
                <c:ptCount val="7"/>
                <c:pt idx="0">
                  <c:v>62.5</c:v>
                </c:pt>
                <c:pt idx="1">
                  <c:v>37.5</c:v>
                </c:pt>
                <c:pt idx="2">
                  <c:v>29.166666666666668</c:v>
                </c:pt>
                <c:pt idx="3">
                  <c:v>29.166666666666668</c:v>
                </c:pt>
                <c:pt idx="4">
                  <c:v>4.1666666666666661</c:v>
                </c:pt>
                <c:pt idx="5">
                  <c:v>20.833333333333336</c:v>
                </c:pt>
                <c:pt idx="6">
                  <c:v>0</c:v>
                </c:pt>
              </c:numCache>
            </c:numRef>
          </c:val>
        </c:ser>
        <c:ser>
          <c:idx val="8"/>
          <c:order val="3"/>
          <c:tx>
            <c:strRef>
              <c:f>Пов_1!$K$6</c:f>
              <c:strCache>
                <c:ptCount val="1"/>
                <c:pt idx="0">
                  <c:v>Не приступили к выполнению</c:v>
                </c:pt>
              </c:strCache>
            </c:strRef>
          </c:tx>
          <c:cat>
            <c:strRef>
              <c:f>Пов_1!$A$7:$A$13</c:f>
              <c:strCache>
                <c:ptCount val="7"/>
                <c:pt idx="0">
                  <c:v>Задание 7</c:v>
                </c:pt>
                <c:pt idx="1">
                  <c:v>Задание 8</c:v>
                </c:pt>
                <c:pt idx="2">
                  <c:v>Задание 9</c:v>
                </c:pt>
                <c:pt idx="3">
                  <c:v>Задание 12</c:v>
                </c:pt>
                <c:pt idx="4">
                  <c:v>Задание 16</c:v>
                </c:pt>
                <c:pt idx="5">
                  <c:v>Задание 17</c:v>
                </c:pt>
                <c:pt idx="6">
                  <c:v>Задание 18</c:v>
                </c:pt>
              </c:strCache>
            </c:strRef>
          </c:cat>
          <c:val>
            <c:numRef>
              <c:f>Пов_1!$K$7:$K$13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4.1666666666666661</c:v>
                </c:pt>
                <c:pt idx="3">
                  <c:v>8.3333333333333321</c:v>
                </c:pt>
                <c:pt idx="4">
                  <c:v>8.3333333333333321</c:v>
                </c:pt>
                <c:pt idx="5">
                  <c:v>4.1666666666666661</c:v>
                </c:pt>
                <c:pt idx="6">
                  <c:v>0</c:v>
                </c:pt>
              </c:numCache>
            </c:numRef>
          </c:val>
        </c:ser>
        <c:shape val="cylinder"/>
        <c:axId val="61262464"/>
        <c:axId val="61276544"/>
        <c:axId val="0"/>
      </c:bar3DChart>
      <c:catAx>
        <c:axId val="612624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276544"/>
        <c:crosses val="autoZero"/>
        <c:auto val="1"/>
        <c:lblAlgn val="ctr"/>
        <c:lblOffset val="100"/>
      </c:catAx>
      <c:valAx>
        <c:axId val="61276544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Доля  учеников</a:t>
                </a:r>
              </a:p>
            </c:rich>
          </c:tx>
          <c:layout>
            <c:manualLayout>
              <c:xMode val="edge"/>
              <c:yMode val="edge"/>
              <c:x val="0.13546824212845426"/>
              <c:y val="0.25253355525681226"/>
            </c:manualLayout>
          </c:layout>
        </c:title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262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2"/>
  <c:chart>
    <c:title>
      <c:tx>
        <c:rich>
          <a:bodyPr/>
          <a:lstStyle/>
          <a:p>
            <a:pPr>
              <a:defRPr/>
            </a:pPr>
            <a:r>
              <a:rPr lang="ru-RU"/>
              <a:t>Проверяемые умения (базовый уровнь)</a:t>
            </a:r>
          </a:p>
          <a:p>
            <a:pPr>
              <a:defRPr/>
            </a:pPr>
            <a:endParaRPr lang="ru-RU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750973242438656"/>
          <c:y val="8.7551287015408735E-2"/>
          <c:w val="0.83661223555109332"/>
          <c:h val="0.81426948102308649"/>
        </c:manualLayout>
      </c:layout>
      <c:barChart>
        <c:barDir val="bar"/>
        <c:grouping val="clustered"/>
        <c:ser>
          <c:idx val="0"/>
          <c:order val="0"/>
          <c:tx>
            <c:strRef>
              <c:f>КИМ_2!$E$8</c:f>
              <c:strCache>
                <c:ptCount val="1"/>
                <c:pt idx="0">
                  <c:v>доля</c:v>
                </c:pt>
              </c:strCache>
            </c:strRef>
          </c:tx>
          <c:cat>
            <c:strRef>
              <c:f>КИМ_2!$B$10:$B$12</c:f>
              <c:strCache>
                <c:ptCount val="3"/>
                <c:pt idx="0">
                  <c:v>Арифметика</c:v>
                </c:pt>
                <c:pt idx="1">
                  <c:v>Геометрия</c:v>
                </c:pt>
                <c:pt idx="2">
                  <c:v>Реальная математика</c:v>
                </c:pt>
              </c:strCache>
            </c:strRef>
          </c:cat>
          <c:val>
            <c:numRef>
              <c:f>КИМ_2!$E$10:$E$12</c:f>
              <c:numCache>
                <c:formatCode>0.0%</c:formatCode>
                <c:ptCount val="3"/>
                <c:pt idx="0">
                  <c:v>0.77083333333333337</c:v>
                </c:pt>
                <c:pt idx="1">
                  <c:v>0.68055555555555558</c:v>
                </c:pt>
                <c:pt idx="2">
                  <c:v>0.77083333333333337</c:v>
                </c:pt>
              </c:numCache>
            </c:numRef>
          </c:val>
        </c:ser>
        <c:axId val="59901824"/>
        <c:axId val="59912192"/>
      </c:barChart>
      <c:catAx>
        <c:axId val="59901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Код проверяемого умения</a:t>
                </a:r>
              </a:p>
            </c:rich>
          </c:tx>
        </c:title>
        <c:numFmt formatCode="General" sourceLinked="1"/>
        <c:tickLblPos val="nextTo"/>
        <c:crossAx val="59912192"/>
        <c:crosses val="autoZero"/>
        <c:auto val="1"/>
        <c:lblAlgn val="ctr"/>
        <c:lblOffset val="100"/>
      </c:catAx>
      <c:valAx>
        <c:axId val="59912192"/>
        <c:scaling>
          <c:orientation val="minMax"/>
        </c:scaling>
        <c:axPos val="b"/>
        <c:majorGridlines/>
        <c:numFmt formatCode="0%" sourceLinked="0"/>
        <c:tickLblPos val="nextTo"/>
        <c:crossAx val="59901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ru-RU"/>
          </a:p>
        </c:txPr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228600</xdr:rowOff>
    </xdr:from>
    <xdr:to>
      <xdr:col>20</xdr:col>
      <xdr:colOff>200025</xdr:colOff>
      <xdr:row>19</xdr:row>
      <xdr:rowOff>104775</xdr:rowOff>
    </xdr:to>
    <xdr:graphicFrame macro="">
      <xdr:nvGraphicFramePr>
        <xdr:cNvPr id="144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76200</xdr:rowOff>
    </xdr:from>
    <xdr:to>
      <xdr:col>11</xdr:col>
      <xdr:colOff>676275</xdr:colOff>
      <xdr:row>31</xdr:row>
      <xdr:rowOff>133350</xdr:rowOff>
    </xdr:to>
    <xdr:graphicFrame macro="">
      <xdr:nvGraphicFramePr>
        <xdr:cNvPr id="154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6</xdr:col>
      <xdr:colOff>209550</xdr:colOff>
      <xdr:row>31</xdr:row>
      <xdr:rowOff>76200</xdr:rowOff>
    </xdr:to>
    <xdr:graphicFrame macro="">
      <xdr:nvGraphicFramePr>
        <xdr:cNvPr id="1647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104775</xdr:rowOff>
    </xdr:from>
    <xdr:to>
      <xdr:col>7</xdr:col>
      <xdr:colOff>9525</xdr:colOff>
      <xdr:row>32</xdr:row>
      <xdr:rowOff>104775</xdr:rowOff>
    </xdr:to>
    <xdr:graphicFrame macro="">
      <xdr:nvGraphicFramePr>
        <xdr:cNvPr id="1758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38100</xdr:rowOff>
    </xdr:from>
    <xdr:to>
      <xdr:col>6</xdr:col>
      <xdr:colOff>533400</xdr:colOff>
      <xdr:row>69</xdr:row>
      <xdr:rowOff>161925</xdr:rowOff>
    </xdr:to>
    <xdr:graphicFrame macro="">
      <xdr:nvGraphicFramePr>
        <xdr:cNvPr id="1758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66675</xdr:rowOff>
    </xdr:from>
    <xdr:to>
      <xdr:col>12</xdr:col>
      <xdr:colOff>0</xdr:colOff>
      <xdr:row>33</xdr:row>
      <xdr:rowOff>123825</xdr:rowOff>
    </xdr:to>
    <xdr:graphicFrame macro="">
      <xdr:nvGraphicFramePr>
        <xdr:cNvPr id="18521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104775</xdr:rowOff>
    </xdr:from>
    <xdr:to>
      <xdr:col>13</xdr:col>
      <xdr:colOff>314325</xdr:colOff>
      <xdr:row>42</xdr:row>
      <xdr:rowOff>95250</xdr:rowOff>
    </xdr:to>
    <xdr:graphicFrame macro="">
      <xdr:nvGraphicFramePr>
        <xdr:cNvPr id="19545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</xdr:row>
      <xdr:rowOff>76200</xdr:rowOff>
    </xdr:from>
    <xdr:to>
      <xdr:col>13</xdr:col>
      <xdr:colOff>142875</xdr:colOff>
      <xdr:row>45</xdr:row>
      <xdr:rowOff>38100</xdr:rowOff>
    </xdr:to>
    <xdr:graphicFrame macro="">
      <xdr:nvGraphicFramePr>
        <xdr:cNvPr id="5171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14"/>
  <sheetViews>
    <sheetView tabSelected="1" topLeftCell="B9" zoomScale="110" zoomScaleNormal="110" workbookViewId="0">
      <selection activeCell="D20" sqref="D20:D46"/>
    </sheetView>
  </sheetViews>
  <sheetFormatPr defaultRowHeight="12.75"/>
  <cols>
    <col min="1" max="1" width="7" style="1" hidden="1" customWidth="1"/>
    <col min="2" max="2" width="4.140625" style="1" customWidth="1"/>
    <col min="3" max="3" width="6.140625" style="51" customWidth="1"/>
    <col min="4" max="4" width="25" style="1" customWidth="1"/>
    <col min="5" max="5" width="20.28515625" style="1" customWidth="1"/>
    <col min="6" max="6" width="13.7109375" style="1" customWidth="1"/>
    <col min="7" max="7" width="11.5703125" style="1" customWidth="1"/>
    <col min="8" max="8" width="11.42578125" style="1" customWidth="1"/>
    <col min="9" max="9" width="16" style="1" customWidth="1"/>
    <col min="10" max="10" width="12.140625" style="1" customWidth="1"/>
    <col min="11" max="12" width="5.140625" style="1" hidden="1" customWidth="1"/>
    <col min="13" max="13" width="6.5703125" style="1" hidden="1" customWidth="1"/>
    <col min="14" max="14" width="6.85546875" style="1" hidden="1" customWidth="1"/>
    <col min="15" max="15" width="5.7109375" style="1" hidden="1" customWidth="1"/>
    <col min="16" max="16" width="6.28515625" style="1" hidden="1" customWidth="1"/>
    <col min="17" max="17" width="7.85546875" style="1" hidden="1" customWidth="1"/>
    <col min="18" max="18" width="6.42578125" style="1" hidden="1" customWidth="1"/>
    <col min="19" max="19" width="9.28515625" style="1" hidden="1" customWidth="1"/>
    <col min="20" max="20" width="0" style="1" hidden="1" customWidth="1"/>
    <col min="21" max="16384" width="9.140625" style="1"/>
  </cols>
  <sheetData>
    <row r="1" spans="1:19" s="4" customFormat="1" ht="30.75" customHeight="1" thickBot="1">
      <c r="A1" s="212">
        <v>130205</v>
      </c>
      <c r="B1" s="54"/>
      <c r="C1" s="55"/>
      <c r="D1" s="54"/>
      <c r="E1" s="56"/>
      <c r="F1" s="54"/>
      <c r="G1" s="56" t="s">
        <v>8</v>
      </c>
      <c r="H1" s="57" t="s">
        <v>228</v>
      </c>
      <c r="I1" s="56" t="s">
        <v>9</v>
      </c>
      <c r="J1" s="57" t="s">
        <v>215</v>
      </c>
      <c r="L1" s="13"/>
      <c r="S1" s="4">
        <f>IF(S19=0,0,1)</f>
        <v>1</v>
      </c>
    </row>
    <row r="2" spans="1:19" ht="13.5" thickBot="1">
      <c r="A2" s="213">
        <v>23</v>
      </c>
      <c r="B2" s="58"/>
      <c r="C2" s="59"/>
      <c r="D2" s="60"/>
      <c r="E2" s="60"/>
      <c r="F2" s="60"/>
      <c r="G2" s="60"/>
      <c r="H2" s="60"/>
      <c r="I2" s="60"/>
      <c r="J2" s="60"/>
      <c r="K2" s="2"/>
      <c r="L2" s="2"/>
    </row>
    <row r="3" spans="1:19" s="3" customFormat="1" ht="36" customHeight="1" thickBot="1">
      <c r="A3" s="214">
        <v>32</v>
      </c>
      <c r="B3" s="376" t="s">
        <v>136</v>
      </c>
      <c r="C3" s="377"/>
      <c r="D3" s="378"/>
      <c r="E3" s="379" t="s">
        <v>229</v>
      </c>
      <c r="F3" s="380"/>
      <c r="G3" s="380"/>
      <c r="H3" s="380"/>
      <c r="I3" s="380"/>
      <c r="J3" s="381"/>
      <c r="K3" s="15"/>
      <c r="L3" s="17"/>
    </row>
    <row r="4" spans="1:19" s="3" customFormat="1" ht="30" customHeight="1" thickBot="1">
      <c r="A4" s="214"/>
      <c r="B4" s="376" t="s">
        <v>171</v>
      </c>
      <c r="C4" s="377"/>
      <c r="D4" s="401"/>
      <c r="E4" s="223">
        <v>27</v>
      </c>
      <c r="K4" s="15"/>
      <c r="L4" s="17"/>
    </row>
    <row r="5" spans="1:19" ht="12.75" customHeight="1">
      <c r="A5" s="1">
        <f>SUM(S1,'ОТВЕТЫ УЧАЩИХСЯ'!AK1)</f>
        <v>1</v>
      </c>
      <c r="B5" s="58"/>
      <c r="C5" s="61"/>
      <c r="D5" s="62"/>
      <c r="E5" s="62"/>
      <c r="F5" s="62"/>
      <c r="G5" s="62"/>
      <c r="H5" s="62"/>
      <c r="I5" s="62"/>
      <c r="J5" s="62"/>
      <c r="K5" s="8"/>
      <c r="L5" s="8"/>
    </row>
    <row r="6" spans="1:19" ht="18" hidden="1">
      <c r="B6" s="63">
        <v>4</v>
      </c>
      <c r="C6" s="64" t="s">
        <v>24</v>
      </c>
      <c r="D6" s="65"/>
      <c r="E6" s="65"/>
      <c r="F6" s="66"/>
      <c r="G6" s="60"/>
      <c r="H6" s="60"/>
      <c r="I6" s="60"/>
      <c r="J6" s="60"/>
      <c r="K6" s="2"/>
      <c r="L6" s="2"/>
    </row>
    <row r="7" spans="1:19" ht="15.75">
      <c r="B7" s="402" t="s">
        <v>77</v>
      </c>
      <c r="C7" s="403"/>
      <c r="D7" s="403"/>
      <c r="E7" s="403"/>
      <c r="F7" s="403"/>
      <c r="G7" s="403"/>
      <c r="H7" s="403"/>
      <c r="I7" s="403"/>
      <c r="J7" s="403"/>
      <c r="K7" s="36"/>
      <c r="L7" s="36"/>
      <c r="N7" s="5"/>
    </row>
    <row r="8" spans="1:19" ht="15.75">
      <c r="B8" s="67" t="s">
        <v>4</v>
      </c>
      <c r="C8" s="68" t="s">
        <v>5</v>
      </c>
      <c r="D8" s="67" t="s">
        <v>6</v>
      </c>
      <c r="E8" s="67" t="s">
        <v>7</v>
      </c>
      <c r="F8" s="69" t="s">
        <v>137</v>
      </c>
      <c r="G8" s="70" t="s">
        <v>138</v>
      </c>
      <c r="H8" s="71" t="s">
        <v>139</v>
      </c>
      <c r="I8" s="71" t="s">
        <v>19</v>
      </c>
      <c r="J8" s="129" t="s">
        <v>140</v>
      </c>
      <c r="K8" s="4"/>
      <c r="L8" s="4"/>
      <c r="N8" s="211" t="s">
        <v>213</v>
      </c>
    </row>
    <row r="9" spans="1:19" ht="12.75" customHeight="1">
      <c r="B9" s="400" t="s">
        <v>2</v>
      </c>
      <c r="C9" s="382" t="s">
        <v>15</v>
      </c>
      <c r="D9" s="385" t="s">
        <v>3</v>
      </c>
      <c r="E9" s="72"/>
      <c r="F9" s="386" t="s">
        <v>11</v>
      </c>
      <c r="G9" s="389" t="s">
        <v>10</v>
      </c>
      <c r="H9" s="390"/>
      <c r="I9" s="386" t="s">
        <v>212</v>
      </c>
      <c r="J9" s="397" t="s">
        <v>23</v>
      </c>
      <c r="N9" s="211" t="s">
        <v>214</v>
      </c>
    </row>
    <row r="10" spans="1:19" ht="12.75" customHeight="1">
      <c r="B10" s="400"/>
      <c r="C10" s="383"/>
      <c r="D10" s="385"/>
      <c r="E10" s="73"/>
      <c r="F10" s="387"/>
      <c r="G10" s="391"/>
      <c r="H10" s="392"/>
      <c r="I10" s="395"/>
      <c r="J10" s="398"/>
      <c r="N10" s="211" t="s">
        <v>215</v>
      </c>
    </row>
    <row r="11" spans="1:19">
      <c r="B11" s="400"/>
      <c r="C11" s="383"/>
      <c r="D11" s="385"/>
      <c r="E11" s="74" t="s">
        <v>20</v>
      </c>
      <c r="F11" s="387"/>
      <c r="G11" s="391"/>
      <c r="H11" s="392"/>
      <c r="I11" s="395"/>
      <c r="J11" s="398"/>
      <c r="N11" s="211" t="s">
        <v>216</v>
      </c>
    </row>
    <row r="12" spans="1:19" ht="27" customHeight="1">
      <c r="B12" s="400"/>
      <c r="C12" s="384"/>
      <c r="D12" s="385"/>
      <c r="E12" s="75"/>
      <c r="F12" s="388"/>
      <c r="G12" s="393"/>
      <c r="H12" s="394"/>
      <c r="I12" s="396"/>
      <c r="J12" s="399"/>
      <c r="N12" s="211" t="s">
        <v>217</v>
      </c>
    </row>
    <row r="13" spans="1:19" ht="27" hidden="1" customHeight="1">
      <c r="B13" s="228"/>
      <c r="C13" s="229"/>
      <c r="D13" s="230"/>
      <c r="E13" s="231"/>
      <c r="F13" s="232"/>
      <c r="G13" s="233"/>
      <c r="H13" s="234"/>
      <c r="I13" s="235"/>
      <c r="J13" s="236"/>
      <c r="N13" s="211" t="s">
        <v>131</v>
      </c>
    </row>
    <row r="14" spans="1:19" ht="27" hidden="1" customHeight="1">
      <c r="B14" s="228"/>
      <c r="C14" s="229"/>
      <c r="D14" s="230"/>
      <c r="E14" s="231"/>
      <c r="F14" s="232"/>
      <c r="G14" s="233"/>
      <c r="H14" s="234"/>
      <c r="I14" s="235"/>
      <c r="J14" s="236"/>
      <c r="N14" s="211" t="s">
        <v>132</v>
      </c>
    </row>
    <row r="15" spans="1:19" ht="27" hidden="1" customHeight="1">
      <c r="B15" s="228"/>
      <c r="C15" s="229"/>
      <c r="D15" s="230"/>
      <c r="E15" s="231"/>
      <c r="F15" s="232"/>
      <c r="G15" s="233"/>
      <c r="H15" s="234"/>
      <c r="I15" s="235"/>
      <c r="J15" s="236"/>
      <c r="N15" s="211" t="s">
        <v>133</v>
      </c>
    </row>
    <row r="16" spans="1:19" ht="27" hidden="1" customHeight="1">
      <c r="B16" s="228"/>
      <c r="C16" s="229"/>
      <c r="D16" s="230"/>
      <c r="E16" s="231"/>
      <c r="F16" s="232"/>
      <c r="G16" s="233"/>
      <c r="H16" s="234"/>
      <c r="I16" s="235"/>
      <c r="J16" s="236"/>
      <c r="N16" s="211" t="s">
        <v>134</v>
      </c>
    </row>
    <row r="17" spans="2:19" ht="27" hidden="1" customHeight="1">
      <c r="B17" s="228"/>
      <c r="C17" s="229"/>
      <c r="D17" s="230"/>
      <c r="E17" s="231"/>
      <c r="F17" s="232"/>
      <c r="G17" s="233"/>
      <c r="H17" s="234"/>
      <c r="I17" s="235"/>
      <c r="J17" s="236"/>
      <c r="N17" s="211" t="s">
        <v>135</v>
      </c>
    </row>
    <row r="18" spans="2:19" ht="27" hidden="1" customHeight="1">
      <c r="B18" s="228"/>
      <c r="C18" s="229"/>
      <c r="D18" s="230"/>
      <c r="E18" s="231"/>
      <c r="F18" s="232"/>
      <c r="G18" s="233"/>
      <c r="H18" s="234"/>
      <c r="I18" s="235"/>
      <c r="J18" s="236"/>
      <c r="N18" s="211" t="s">
        <v>17</v>
      </c>
    </row>
    <row r="19" spans="2:19" ht="27" hidden="1" customHeight="1">
      <c r="B19" s="228"/>
      <c r="C19" s="229"/>
      <c r="D19" s="230"/>
      <c r="E19" s="231"/>
      <c r="F19" s="232"/>
      <c r="G19" s="233"/>
      <c r="H19" s="234"/>
      <c r="I19" s="235"/>
      <c r="J19" s="236"/>
      <c r="N19" s="211"/>
      <c r="S19" s="1">
        <f>SUM(S20:S59)</f>
        <v>27</v>
      </c>
    </row>
    <row r="20" spans="2:19">
      <c r="B20" s="76">
        <v>1</v>
      </c>
      <c r="C20" s="77">
        <v>1</v>
      </c>
      <c r="D20" s="78"/>
      <c r="E20" s="79" t="str">
        <f t="shared" ref="E20:E33" si="0">IF(AND($H$1&lt;&gt;"",$J$1&lt;&gt;"",C20&lt;&gt;"",D20&lt;&gt;""),CONCATENATE($H$1,"-",$J$1,"-",TEXT(C20,"00")),"")</f>
        <v/>
      </c>
      <c r="F20" s="80">
        <v>2</v>
      </c>
      <c r="G20" s="81" t="s">
        <v>230</v>
      </c>
      <c r="H20" s="82" t="s">
        <v>231</v>
      </c>
      <c r="I20" s="240">
        <v>4</v>
      </c>
      <c r="J20" s="241">
        <v>0</v>
      </c>
      <c r="K20" s="14"/>
      <c r="L20" s="14"/>
      <c r="M20" s="14"/>
      <c r="S20" s="1">
        <f t="shared" ref="S20:S59" si="1">IF(ISBLANK(C20),0,(IF(COUNTA($C20:$D20)+COUNTA($F20:$J20)&lt;&gt;7,1,0)))</f>
        <v>1</v>
      </c>
    </row>
    <row r="21" spans="2:19">
      <c r="B21" s="76">
        <v>2</v>
      </c>
      <c r="C21" s="77">
        <v>2</v>
      </c>
      <c r="D21" s="78"/>
      <c r="E21" s="79" t="str">
        <f t="shared" si="0"/>
        <v/>
      </c>
      <c r="F21" s="80">
        <v>2</v>
      </c>
      <c r="G21" s="81" t="s">
        <v>230</v>
      </c>
      <c r="H21" s="82" t="s">
        <v>231</v>
      </c>
      <c r="I21" s="240">
        <v>4</v>
      </c>
      <c r="J21" s="241">
        <v>0</v>
      </c>
      <c r="K21" s="14"/>
      <c r="L21" s="14"/>
      <c r="M21" s="14"/>
      <c r="S21" s="1">
        <f t="shared" si="1"/>
        <v>1</v>
      </c>
    </row>
    <row r="22" spans="2:19">
      <c r="B22" s="76">
        <v>3</v>
      </c>
      <c r="C22" s="77">
        <v>3</v>
      </c>
      <c r="D22" s="78"/>
      <c r="E22" s="79" t="str">
        <f t="shared" si="0"/>
        <v/>
      </c>
      <c r="F22" s="80">
        <v>1</v>
      </c>
      <c r="G22" s="81" t="s">
        <v>232</v>
      </c>
      <c r="H22" s="82" t="s">
        <v>231</v>
      </c>
      <c r="I22" s="240">
        <v>5</v>
      </c>
      <c r="J22" s="241">
        <v>3</v>
      </c>
      <c r="K22" s="14"/>
      <c r="L22" s="14"/>
      <c r="M22" s="14"/>
      <c r="S22" s="1">
        <f t="shared" si="1"/>
        <v>1</v>
      </c>
    </row>
    <row r="23" spans="2:19">
      <c r="B23" s="76">
        <v>4</v>
      </c>
      <c r="C23" s="77">
        <v>4</v>
      </c>
      <c r="D23" s="78"/>
      <c r="E23" s="79" t="str">
        <f t="shared" si="0"/>
        <v/>
      </c>
      <c r="F23" s="80">
        <v>1</v>
      </c>
      <c r="G23" s="81" t="s">
        <v>233</v>
      </c>
      <c r="H23" s="82" t="s">
        <v>231</v>
      </c>
      <c r="I23" s="240">
        <v>3</v>
      </c>
      <c r="J23" s="241">
        <v>4</v>
      </c>
      <c r="K23" s="14"/>
      <c r="L23" s="14"/>
      <c r="M23" s="14"/>
      <c r="S23" s="1">
        <f t="shared" si="1"/>
        <v>1</v>
      </c>
    </row>
    <row r="24" spans="2:19">
      <c r="B24" s="76">
        <v>5</v>
      </c>
      <c r="C24" s="77">
        <v>5</v>
      </c>
      <c r="D24" s="78"/>
      <c r="E24" s="79" t="str">
        <f t="shared" si="0"/>
        <v/>
      </c>
      <c r="F24" s="80">
        <v>1</v>
      </c>
      <c r="G24" s="81" t="s">
        <v>234</v>
      </c>
      <c r="H24" s="82" t="s">
        <v>231</v>
      </c>
      <c r="I24" s="240">
        <v>5</v>
      </c>
      <c r="J24" s="241">
        <v>3</v>
      </c>
      <c r="K24" s="14"/>
      <c r="L24" s="14"/>
      <c r="M24" s="14"/>
      <c r="S24" s="1">
        <f t="shared" si="1"/>
        <v>1</v>
      </c>
    </row>
    <row r="25" spans="2:19">
      <c r="B25" s="76">
        <v>6</v>
      </c>
      <c r="C25" s="77">
        <v>6</v>
      </c>
      <c r="D25" s="78"/>
      <c r="E25" s="79" t="str">
        <f t="shared" si="0"/>
        <v/>
      </c>
      <c r="F25" s="80">
        <v>1</v>
      </c>
      <c r="G25" s="81" t="s">
        <v>235</v>
      </c>
      <c r="H25" s="82" t="s">
        <v>231</v>
      </c>
      <c r="I25" s="240">
        <v>4</v>
      </c>
      <c r="J25" s="241">
        <v>1</v>
      </c>
      <c r="K25" s="14"/>
      <c r="L25" s="14"/>
      <c r="M25" s="14"/>
      <c r="S25" s="1">
        <f t="shared" si="1"/>
        <v>1</v>
      </c>
    </row>
    <row r="26" spans="2:19">
      <c r="B26" s="76">
        <v>7</v>
      </c>
      <c r="C26" s="77">
        <v>7</v>
      </c>
      <c r="D26" s="78"/>
      <c r="E26" s="79" t="str">
        <f t="shared" si="0"/>
        <v/>
      </c>
      <c r="F26" s="80">
        <v>2</v>
      </c>
      <c r="G26" s="81" t="s">
        <v>233</v>
      </c>
      <c r="H26" s="82" t="s">
        <v>231</v>
      </c>
      <c r="I26" s="240">
        <v>4</v>
      </c>
      <c r="J26" s="241">
        <v>4</v>
      </c>
      <c r="K26" s="14"/>
      <c r="L26" s="14"/>
      <c r="M26" s="14"/>
      <c r="S26" s="1">
        <f t="shared" si="1"/>
        <v>1</v>
      </c>
    </row>
    <row r="27" spans="2:19">
      <c r="B27" s="76">
        <v>8</v>
      </c>
      <c r="C27" s="77">
        <v>8</v>
      </c>
      <c r="D27" s="78"/>
      <c r="E27" s="79" t="str">
        <f t="shared" si="0"/>
        <v/>
      </c>
      <c r="F27" s="80">
        <v>2</v>
      </c>
      <c r="G27" s="81" t="s">
        <v>232</v>
      </c>
      <c r="H27" s="82" t="s">
        <v>231</v>
      </c>
      <c r="I27" s="240">
        <v>3</v>
      </c>
      <c r="J27" s="241">
        <v>4</v>
      </c>
      <c r="K27" s="14"/>
      <c r="L27" s="14"/>
      <c r="M27" s="14"/>
      <c r="S27" s="1">
        <f t="shared" si="1"/>
        <v>1</v>
      </c>
    </row>
    <row r="28" spans="2:19">
      <c r="B28" s="76">
        <v>9</v>
      </c>
      <c r="C28" s="77">
        <v>9</v>
      </c>
      <c r="D28" s="78"/>
      <c r="E28" s="79" t="str">
        <f t="shared" si="0"/>
        <v/>
      </c>
      <c r="F28" s="80">
        <v>1</v>
      </c>
      <c r="G28" s="81" t="s">
        <v>236</v>
      </c>
      <c r="H28" s="82" t="s">
        <v>231</v>
      </c>
      <c r="I28" s="240">
        <v>3</v>
      </c>
      <c r="J28" s="241">
        <v>4</v>
      </c>
      <c r="K28" s="14"/>
      <c r="L28" s="14"/>
      <c r="M28" s="14"/>
      <c r="S28" s="1">
        <f t="shared" si="1"/>
        <v>1</v>
      </c>
    </row>
    <row r="29" spans="2:19">
      <c r="B29" s="76">
        <v>10</v>
      </c>
      <c r="C29" s="77">
        <v>10</v>
      </c>
      <c r="D29" s="78"/>
      <c r="E29" s="79" t="str">
        <f t="shared" si="0"/>
        <v/>
      </c>
      <c r="F29" s="80">
        <v>1</v>
      </c>
      <c r="G29" s="81" t="s">
        <v>237</v>
      </c>
      <c r="H29" s="82" t="s">
        <v>231</v>
      </c>
      <c r="I29" s="240">
        <v>3</v>
      </c>
      <c r="J29" s="241">
        <v>3</v>
      </c>
      <c r="K29" s="14"/>
      <c r="L29" s="14"/>
      <c r="M29" s="14"/>
      <c r="S29" s="1">
        <f t="shared" si="1"/>
        <v>1</v>
      </c>
    </row>
    <row r="30" spans="2:19">
      <c r="B30" s="76">
        <v>11</v>
      </c>
      <c r="C30" s="77">
        <v>11</v>
      </c>
      <c r="D30" s="78"/>
      <c r="E30" s="79" t="str">
        <f t="shared" si="0"/>
        <v/>
      </c>
      <c r="F30" s="80">
        <v>2</v>
      </c>
      <c r="G30" s="81" t="s">
        <v>234</v>
      </c>
      <c r="H30" s="82" t="s">
        <v>231</v>
      </c>
      <c r="I30" s="240">
        <v>4</v>
      </c>
      <c r="J30" s="241">
        <v>3</v>
      </c>
      <c r="K30" s="14"/>
      <c r="L30" s="14"/>
      <c r="M30" s="14"/>
      <c r="S30" s="1">
        <f t="shared" si="1"/>
        <v>1</v>
      </c>
    </row>
    <row r="31" spans="2:19">
      <c r="B31" s="76">
        <v>12</v>
      </c>
      <c r="C31" s="77">
        <v>12</v>
      </c>
      <c r="D31" s="78"/>
      <c r="E31" s="79" t="str">
        <f t="shared" si="0"/>
        <v/>
      </c>
      <c r="F31" s="80">
        <v>2</v>
      </c>
      <c r="G31" s="81" t="s">
        <v>230</v>
      </c>
      <c r="H31" s="82" t="s">
        <v>231</v>
      </c>
      <c r="I31" s="240">
        <v>4</v>
      </c>
      <c r="J31" s="241">
        <v>1</v>
      </c>
      <c r="K31" s="14"/>
      <c r="L31" s="14"/>
      <c r="M31" s="14"/>
      <c r="S31" s="1">
        <f t="shared" si="1"/>
        <v>1</v>
      </c>
    </row>
    <row r="32" spans="2:19">
      <c r="B32" s="76">
        <v>13</v>
      </c>
      <c r="C32" s="77">
        <v>13</v>
      </c>
      <c r="D32" s="78"/>
      <c r="E32" s="79" t="str">
        <f t="shared" si="0"/>
        <v/>
      </c>
      <c r="F32" s="80">
        <v>2</v>
      </c>
      <c r="G32" s="81" t="s">
        <v>234</v>
      </c>
      <c r="H32" s="82" t="s">
        <v>231</v>
      </c>
      <c r="I32" s="240">
        <v>4</v>
      </c>
      <c r="J32" s="241">
        <v>4</v>
      </c>
      <c r="K32" s="14"/>
      <c r="L32" s="14"/>
      <c r="M32" s="14"/>
      <c r="S32" s="1">
        <f t="shared" si="1"/>
        <v>1</v>
      </c>
    </row>
    <row r="33" spans="2:19">
      <c r="B33" s="76">
        <v>14</v>
      </c>
      <c r="C33" s="77">
        <v>14</v>
      </c>
      <c r="D33" s="78"/>
      <c r="E33" s="79" t="str">
        <f t="shared" si="0"/>
        <v/>
      </c>
      <c r="F33" s="80">
        <v>1</v>
      </c>
      <c r="G33" s="81" t="s">
        <v>238</v>
      </c>
      <c r="H33" s="82" t="s">
        <v>231</v>
      </c>
      <c r="I33" s="240">
        <v>4</v>
      </c>
      <c r="J33" s="241">
        <v>0</v>
      </c>
      <c r="K33" s="14"/>
      <c r="L33" s="14"/>
      <c r="M33" s="14"/>
      <c r="S33" s="1">
        <f t="shared" si="1"/>
        <v>1</v>
      </c>
    </row>
    <row r="34" spans="2:19">
      <c r="B34" s="76">
        <v>15</v>
      </c>
      <c r="C34" s="77">
        <v>15</v>
      </c>
      <c r="D34" s="78"/>
      <c r="E34" s="79" t="str">
        <f t="shared" ref="E34:E59" si="2">IF(AND($H$1&lt;&gt;"",$J$1&lt;&gt;"",C34&lt;&gt;"",D34&lt;&gt;""),CONCATENATE($H$1,"-",$J$1,"-",TEXT(C34,"00")),"")</f>
        <v/>
      </c>
      <c r="F34" s="80">
        <v>2</v>
      </c>
      <c r="G34" s="81" t="s">
        <v>239</v>
      </c>
      <c r="H34" s="82" t="s">
        <v>231</v>
      </c>
      <c r="I34" s="240">
        <v>3</v>
      </c>
      <c r="J34" s="241">
        <v>3</v>
      </c>
      <c r="K34" s="14"/>
      <c r="L34" s="14"/>
      <c r="M34" s="14"/>
      <c r="S34" s="1">
        <f t="shared" si="1"/>
        <v>1</v>
      </c>
    </row>
    <row r="35" spans="2:19">
      <c r="B35" s="76">
        <v>16</v>
      </c>
      <c r="C35" s="77">
        <v>16</v>
      </c>
      <c r="D35" s="78"/>
      <c r="E35" s="79" t="str">
        <f t="shared" si="2"/>
        <v/>
      </c>
      <c r="F35" s="80">
        <v>1</v>
      </c>
      <c r="G35" s="81" t="s">
        <v>239</v>
      </c>
      <c r="H35" s="82" t="s">
        <v>231</v>
      </c>
      <c r="I35" s="240">
        <v>3</v>
      </c>
      <c r="J35" s="241">
        <v>2</v>
      </c>
      <c r="K35" s="14"/>
      <c r="L35" s="14"/>
      <c r="M35" s="14"/>
      <c r="S35" s="1">
        <f t="shared" si="1"/>
        <v>1</v>
      </c>
    </row>
    <row r="36" spans="2:19">
      <c r="B36" s="76">
        <v>17</v>
      </c>
      <c r="C36" s="77">
        <v>17</v>
      </c>
      <c r="D36" s="78"/>
      <c r="E36" s="79" t="str">
        <f t="shared" si="2"/>
        <v/>
      </c>
      <c r="F36" s="80">
        <v>2</v>
      </c>
      <c r="G36" s="81" t="s">
        <v>236</v>
      </c>
      <c r="H36" s="82" t="s">
        <v>231</v>
      </c>
      <c r="I36" s="240">
        <v>4</v>
      </c>
      <c r="J36" s="241">
        <v>2</v>
      </c>
      <c r="K36" s="14"/>
      <c r="L36" s="14"/>
      <c r="M36" s="14"/>
      <c r="S36" s="1">
        <f t="shared" si="1"/>
        <v>1</v>
      </c>
    </row>
    <row r="37" spans="2:19">
      <c r="B37" s="76">
        <v>18</v>
      </c>
      <c r="C37" s="77">
        <v>18</v>
      </c>
      <c r="D37" s="78"/>
      <c r="E37" s="79" t="str">
        <f t="shared" si="2"/>
        <v/>
      </c>
      <c r="F37" s="80">
        <v>1</v>
      </c>
      <c r="G37" s="81" t="s">
        <v>238</v>
      </c>
      <c r="H37" s="82" t="s">
        <v>231</v>
      </c>
      <c r="I37" s="240">
        <v>5</v>
      </c>
      <c r="J37" s="241">
        <v>4</v>
      </c>
      <c r="K37" s="14"/>
      <c r="L37" s="14"/>
      <c r="M37" s="14"/>
      <c r="S37" s="1">
        <f t="shared" si="1"/>
        <v>1</v>
      </c>
    </row>
    <row r="38" spans="2:19">
      <c r="B38" s="76">
        <v>19</v>
      </c>
      <c r="C38" s="77">
        <v>19</v>
      </c>
      <c r="D38" s="78"/>
      <c r="E38" s="79" t="str">
        <f t="shared" si="2"/>
        <v/>
      </c>
      <c r="F38" s="80">
        <v>2</v>
      </c>
      <c r="G38" s="81" t="s">
        <v>235</v>
      </c>
      <c r="H38" s="82" t="s">
        <v>231</v>
      </c>
      <c r="I38" s="240">
        <v>4</v>
      </c>
      <c r="J38" s="241">
        <v>3</v>
      </c>
      <c r="K38" s="14"/>
      <c r="L38" s="14"/>
      <c r="M38" s="14"/>
      <c r="S38" s="1">
        <f t="shared" si="1"/>
        <v>1</v>
      </c>
    </row>
    <row r="39" spans="2:19">
      <c r="B39" s="76">
        <v>20</v>
      </c>
      <c r="C39" s="77">
        <v>20</v>
      </c>
      <c r="D39" s="78"/>
      <c r="E39" s="79" t="str">
        <f t="shared" si="2"/>
        <v/>
      </c>
      <c r="F39" s="80">
        <v>2</v>
      </c>
      <c r="G39" s="81" t="s">
        <v>234</v>
      </c>
      <c r="H39" s="82" t="s">
        <v>231</v>
      </c>
      <c r="I39" s="240">
        <v>4</v>
      </c>
      <c r="J39" s="241">
        <v>4</v>
      </c>
      <c r="K39" s="14"/>
      <c r="L39" s="14"/>
      <c r="M39" s="14"/>
      <c r="S39" s="1">
        <f t="shared" si="1"/>
        <v>1</v>
      </c>
    </row>
    <row r="40" spans="2:19">
      <c r="B40" s="76">
        <v>21</v>
      </c>
      <c r="C40" s="77">
        <v>21</v>
      </c>
      <c r="D40" s="78"/>
      <c r="E40" s="79" t="str">
        <f t="shared" si="2"/>
        <v/>
      </c>
      <c r="F40" s="80">
        <v>2</v>
      </c>
      <c r="G40" s="81" t="s">
        <v>238</v>
      </c>
      <c r="H40" s="82" t="s">
        <v>231</v>
      </c>
      <c r="I40" s="240">
        <v>3</v>
      </c>
      <c r="J40" s="241">
        <v>2</v>
      </c>
      <c r="K40" s="14"/>
      <c r="L40" s="14"/>
      <c r="M40" s="14"/>
      <c r="S40" s="1">
        <f t="shared" si="1"/>
        <v>1</v>
      </c>
    </row>
    <row r="41" spans="2:19">
      <c r="B41" s="76">
        <v>22</v>
      </c>
      <c r="C41" s="77">
        <v>22</v>
      </c>
      <c r="D41" s="78"/>
      <c r="E41" s="79" t="str">
        <f t="shared" si="2"/>
        <v/>
      </c>
      <c r="F41" s="80">
        <v>1</v>
      </c>
      <c r="G41" s="81" t="s">
        <v>234</v>
      </c>
      <c r="H41" s="82" t="s">
        <v>231</v>
      </c>
      <c r="I41" s="240">
        <v>3</v>
      </c>
      <c r="J41" s="241">
        <v>1</v>
      </c>
      <c r="K41" s="14"/>
      <c r="L41" s="14"/>
      <c r="M41" s="14"/>
      <c r="S41" s="1">
        <f t="shared" si="1"/>
        <v>1</v>
      </c>
    </row>
    <row r="42" spans="2:19">
      <c r="B42" s="76">
        <v>23</v>
      </c>
      <c r="C42" s="77">
        <v>23</v>
      </c>
      <c r="D42" s="78"/>
      <c r="E42" s="79" t="str">
        <f t="shared" si="2"/>
        <v/>
      </c>
      <c r="F42" s="80">
        <v>1</v>
      </c>
      <c r="G42" s="81" t="s">
        <v>239</v>
      </c>
      <c r="H42" s="82" t="s">
        <v>231</v>
      </c>
      <c r="I42" s="240">
        <v>4</v>
      </c>
      <c r="J42" s="241">
        <v>1</v>
      </c>
      <c r="K42" s="14"/>
      <c r="L42" s="14"/>
      <c r="M42" s="14"/>
      <c r="S42" s="1">
        <f t="shared" si="1"/>
        <v>1</v>
      </c>
    </row>
    <row r="43" spans="2:19">
      <c r="B43" s="76">
        <v>24</v>
      </c>
      <c r="C43" s="77">
        <v>24</v>
      </c>
      <c r="D43" s="78"/>
      <c r="E43" s="79" t="str">
        <f t="shared" si="2"/>
        <v/>
      </c>
      <c r="F43" s="80">
        <v>2</v>
      </c>
      <c r="G43" s="81" t="s">
        <v>230</v>
      </c>
      <c r="H43" s="82" t="s">
        <v>231</v>
      </c>
      <c r="I43" s="240">
        <v>4</v>
      </c>
      <c r="J43" s="241">
        <v>2</v>
      </c>
      <c r="K43" s="14"/>
      <c r="L43" s="14"/>
      <c r="M43" s="14"/>
      <c r="S43" s="1">
        <f t="shared" si="1"/>
        <v>1</v>
      </c>
    </row>
    <row r="44" spans="2:19">
      <c r="B44" s="76">
        <v>25</v>
      </c>
      <c r="C44" s="77">
        <v>25</v>
      </c>
      <c r="D44" s="78"/>
      <c r="E44" s="79" t="str">
        <f t="shared" si="2"/>
        <v/>
      </c>
      <c r="F44" s="80">
        <v>1</v>
      </c>
      <c r="G44" s="81" t="s">
        <v>233</v>
      </c>
      <c r="H44" s="82" t="s">
        <v>231</v>
      </c>
      <c r="I44" s="240">
        <v>5</v>
      </c>
      <c r="J44" s="241">
        <v>1</v>
      </c>
      <c r="K44" s="14"/>
      <c r="L44" s="14"/>
      <c r="M44" s="14"/>
      <c r="S44" s="1">
        <f t="shared" si="1"/>
        <v>1</v>
      </c>
    </row>
    <row r="45" spans="2:19">
      <c r="B45" s="76">
        <v>26</v>
      </c>
      <c r="C45" s="83">
        <v>26</v>
      </c>
      <c r="D45" s="78"/>
      <c r="E45" s="79" t="str">
        <f t="shared" si="2"/>
        <v/>
      </c>
      <c r="F45" s="80">
        <v>1</v>
      </c>
      <c r="G45" s="81" t="s">
        <v>237</v>
      </c>
      <c r="H45" s="82" t="s">
        <v>231</v>
      </c>
      <c r="I45" s="240">
        <v>5</v>
      </c>
      <c r="J45" s="241">
        <v>2</v>
      </c>
      <c r="K45" s="14"/>
      <c r="L45" s="14"/>
      <c r="M45" s="14"/>
      <c r="S45" s="1">
        <f t="shared" si="1"/>
        <v>1</v>
      </c>
    </row>
    <row r="46" spans="2:19">
      <c r="B46" s="76">
        <v>27</v>
      </c>
      <c r="C46" s="83">
        <v>27</v>
      </c>
      <c r="D46" s="78"/>
      <c r="E46" s="79" t="str">
        <f t="shared" si="2"/>
        <v/>
      </c>
      <c r="F46" s="80">
        <v>1</v>
      </c>
      <c r="G46" s="81" t="s">
        <v>231</v>
      </c>
      <c r="H46" s="82" t="s">
        <v>231</v>
      </c>
      <c r="I46" s="240">
        <v>5</v>
      </c>
      <c r="J46" s="241">
        <v>2</v>
      </c>
      <c r="K46" s="14"/>
      <c r="L46" s="14"/>
      <c r="M46" s="14"/>
      <c r="S46" s="1">
        <f t="shared" si="1"/>
        <v>1</v>
      </c>
    </row>
    <row r="47" spans="2:19">
      <c r="B47" s="76">
        <v>28</v>
      </c>
      <c r="C47" s="83"/>
      <c r="D47" s="78"/>
      <c r="E47" s="79" t="str">
        <f t="shared" si="2"/>
        <v/>
      </c>
      <c r="F47" s="80"/>
      <c r="G47" s="81"/>
      <c r="H47" s="82"/>
      <c r="I47" s="240"/>
      <c r="J47" s="241"/>
      <c r="K47" s="14"/>
      <c r="L47" s="14"/>
      <c r="M47" s="14"/>
      <c r="S47" s="1">
        <f t="shared" si="1"/>
        <v>0</v>
      </c>
    </row>
    <row r="48" spans="2:19">
      <c r="B48" s="76">
        <v>29</v>
      </c>
      <c r="C48" s="83"/>
      <c r="D48" s="78"/>
      <c r="E48" s="79" t="str">
        <f t="shared" si="2"/>
        <v/>
      </c>
      <c r="F48" s="80"/>
      <c r="G48" s="81"/>
      <c r="H48" s="82"/>
      <c r="I48" s="240"/>
      <c r="J48" s="241"/>
      <c r="K48" s="14"/>
      <c r="L48" s="14"/>
      <c r="M48" s="14"/>
      <c r="S48" s="1">
        <f t="shared" si="1"/>
        <v>0</v>
      </c>
    </row>
    <row r="49" spans="2:19">
      <c r="B49" s="76">
        <v>30</v>
      </c>
      <c r="C49" s="83"/>
      <c r="D49" s="78"/>
      <c r="E49" s="79" t="str">
        <f t="shared" si="2"/>
        <v/>
      </c>
      <c r="F49" s="80"/>
      <c r="G49" s="81"/>
      <c r="H49" s="82"/>
      <c r="I49" s="240"/>
      <c r="J49" s="241"/>
      <c r="K49" s="14"/>
      <c r="L49" s="14"/>
      <c r="M49" s="14"/>
      <c r="S49" s="1">
        <f t="shared" si="1"/>
        <v>0</v>
      </c>
    </row>
    <row r="50" spans="2:19">
      <c r="B50" s="76">
        <v>31</v>
      </c>
      <c r="C50" s="83"/>
      <c r="D50" s="78"/>
      <c r="E50" s="79" t="str">
        <f t="shared" si="2"/>
        <v/>
      </c>
      <c r="F50" s="80"/>
      <c r="G50" s="81"/>
      <c r="H50" s="82"/>
      <c r="I50" s="240"/>
      <c r="J50" s="241"/>
      <c r="K50" s="14"/>
      <c r="L50" s="14"/>
      <c r="M50" s="14"/>
      <c r="S50" s="1">
        <f t="shared" si="1"/>
        <v>0</v>
      </c>
    </row>
    <row r="51" spans="2:19">
      <c r="B51" s="76">
        <v>32</v>
      </c>
      <c r="C51" s="83"/>
      <c r="D51" s="78"/>
      <c r="E51" s="79" t="str">
        <f t="shared" si="2"/>
        <v/>
      </c>
      <c r="F51" s="80"/>
      <c r="G51" s="81"/>
      <c r="H51" s="82"/>
      <c r="I51" s="240"/>
      <c r="J51" s="241"/>
      <c r="K51" s="14"/>
      <c r="L51" s="14"/>
      <c r="M51" s="14"/>
      <c r="S51" s="1">
        <f t="shared" si="1"/>
        <v>0</v>
      </c>
    </row>
    <row r="52" spans="2:19">
      <c r="B52" s="76">
        <v>33</v>
      </c>
      <c r="C52" s="83"/>
      <c r="D52" s="78"/>
      <c r="E52" s="79" t="str">
        <f t="shared" si="2"/>
        <v/>
      </c>
      <c r="F52" s="80"/>
      <c r="G52" s="81"/>
      <c r="H52" s="82"/>
      <c r="I52" s="240"/>
      <c r="J52" s="241"/>
      <c r="K52" s="14"/>
      <c r="L52" s="14"/>
      <c r="M52" s="14"/>
      <c r="S52" s="1">
        <f t="shared" si="1"/>
        <v>0</v>
      </c>
    </row>
    <row r="53" spans="2:19">
      <c r="B53" s="76">
        <v>34</v>
      </c>
      <c r="C53" s="83"/>
      <c r="D53" s="78"/>
      <c r="E53" s="79" t="str">
        <f t="shared" si="2"/>
        <v/>
      </c>
      <c r="F53" s="80"/>
      <c r="G53" s="81"/>
      <c r="H53" s="82"/>
      <c r="I53" s="240"/>
      <c r="J53" s="241"/>
      <c r="K53" s="14"/>
      <c r="L53" s="14"/>
      <c r="M53" s="14"/>
      <c r="S53" s="1">
        <f t="shared" si="1"/>
        <v>0</v>
      </c>
    </row>
    <row r="54" spans="2:19">
      <c r="B54" s="76">
        <v>35</v>
      </c>
      <c r="C54" s="83"/>
      <c r="D54" s="78"/>
      <c r="E54" s="79" t="str">
        <f t="shared" si="2"/>
        <v/>
      </c>
      <c r="F54" s="80"/>
      <c r="G54" s="81"/>
      <c r="H54" s="82"/>
      <c r="I54" s="240"/>
      <c r="J54" s="241"/>
      <c r="K54" s="14"/>
      <c r="L54" s="14"/>
      <c r="M54" s="14"/>
      <c r="S54" s="1">
        <f t="shared" si="1"/>
        <v>0</v>
      </c>
    </row>
    <row r="55" spans="2:19">
      <c r="B55" s="76">
        <v>36</v>
      </c>
      <c r="C55" s="83"/>
      <c r="D55" s="78"/>
      <c r="E55" s="79" t="str">
        <f t="shared" si="2"/>
        <v/>
      </c>
      <c r="F55" s="80"/>
      <c r="G55" s="81"/>
      <c r="H55" s="82"/>
      <c r="I55" s="240"/>
      <c r="J55" s="241"/>
      <c r="K55" s="14"/>
      <c r="L55" s="14"/>
      <c r="M55" s="14"/>
      <c r="S55" s="1">
        <f t="shared" si="1"/>
        <v>0</v>
      </c>
    </row>
    <row r="56" spans="2:19">
      <c r="B56" s="76">
        <v>37</v>
      </c>
      <c r="C56" s="83"/>
      <c r="D56" s="78"/>
      <c r="E56" s="79" t="str">
        <f t="shared" si="2"/>
        <v/>
      </c>
      <c r="F56" s="80"/>
      <c r="G56" s="81"/>
      <c r="H56" s="82"/>
      <c r="I56" s="240"/>
      <c r="J56" s="241"/>
      <c r="K56" s="14"/>
      <c r="L56" s="14"/>
      <c r="M56" s="14"/>
      <c r="S56" s="1">
        <f t="shared" si="1"/>
        <v>0</v>
      </c>
    </row>
    <row r="57" spans="2:19">
      <c r="B57" s="76">
        <v>38</v>
      </c>
      <c r="C57" s="83"/>
      <c r="D57" s="78"/>
      <c r="E57" s="79" t="str">
        <f t="shared" si="2"/>
        <v/>
      </c>
      <c r="F57" s="80"/>
      <c r="G57" s="81"/>
      <c r="H57" s="82"/>
      <c r="I57" s="240"/>
      <c r="J57" s="241"/>
      <c r="K57" s="14"/>
      <c r="L57" s="14"/>
      <c r="M57" s="14"/>
      <c r="S57" s="1">
        <f t="shared" si="1"/>
        <v>0</v>
      </c>
    </row>
    <row r="58" spans="2:19">
      <c r="B58" s="76">
        <v>39</v>
      </c>
      <c r="C58" s="83"/>
      <c r="D58" s="78"/>
      <c r="E58" s="79" t="str">
        <f t="shared" si="2"/>
        <v/>
      </c>
      <c r="F58" s="80"/>
      <c r="G58" s="81"/>
      <c r="H58" s="82"/>
      <c r="I58" s="240"/>
      <c r="J58" s="241"/>
      <c r="K58" s="14"/>
      <c r="L58" s="14"/>
      <c r="M58" s="14"/>
      <c r="S58" s="1">
        <f t="shared" si="1"/>
        <v>0</v>
      </c>
    </row>
    <row r="59" spans="2:19">
      <c r="B59" s="76">
        <v>40</v>
      </c>
      <c r="C59" s="83"/>
      <c r="D59" s="78"/>
      <c r="E59" s="79" t="str">
        <f t="shared" si="2"/>
        <v/>
      </c>
      <c r="F59" s="80"/>
      <c r="G59" s="81"/>
      <c r="H59" s="82"/>
      <c r="I59" s="240"/>
      <c r="J59" s="241"/>
      <c r="K59" s="14"/>
      <c r="L59" s="14"/>
      <c r="M59" s="14"/>
      <c r="S59" s="1">
        <f t="shared" si="1"/>
        <v>0</v>
      </c>
    </row>
    <row r="60" spans="2:19">
      <c r="N60" s="5"/>
    </row>
    <row r="61" spans="2:19" ht="15.75">
      <c r="B61" s="9"/>
      <c r="N61" s="5"/>
    </row>
    <row r="62" spans="2:19">
      <c r="N62" s="5"/>
    </row>
    <row r="63" spans="2:19">
      <c r="N63" s="5"/>
    </row>
    <row r="64" spans="2:19">
      <c r="N64" s="5"/>
    </row>
    <row r="65" spans="14:14">
      <c r="N65" s="5"/>
    </row>
    <row r="66" spans="14:14">
      <c r="N66" s="5"/>
    </row>
    <row r="67" spans="14:14">
      <c r="N67" s="5"/>
    </row>
    <row r="68" spans="14:14">
      <c r="N68" s="5"/>
    </row>
    <row r="69" spans="14:14">
      <c r="N69" s="5"/>
    </row>
    <row r="70" spans="14:14">
      <c r="N70" s="5"/>
    </row>
    <row r="71" spans="14:14">
      <c r="N71" s="5"/>
    </row>
    <row r="72" spans="14:14">
      <c r="N72" s="5"/>
    </row>
    <row r="73" spans="14:14">
      <c r="N73" s="5"/>
    </row>
    <row r="74" spans="14:14">
      <c r="N74" s="5"/>
    </row>
    <row r="75" spans="14:14">
      <c r="N75" s="5"/>
    </row>
    <row r="76" spans="14:14">
      <c r="N76" s="5"/>
    </row>
    <row r="77" spans="14:14">
      <c r="N77" s="5"/>
    </row>
    <row r="78" spans="14:14">
      <c r="N78" s="5"/>
    </row>
    <row r="79" spans="14:14">
      <c r="N79" s="5"/>
    </row>
    <row r="80" spans="14:14">
      <c r="N80" s="5"/>
    </row>
    <row r="81" spans="14:14">
      <c r="N81" s="5"/>
    </row>
    <row r="82" spans="14:14">
      <c r="N82" s="5"/>
    </row>
    <row r="83" spans="14:14">
      <c r="N83" s="5"/>
    </row>
    <row r="84" spans="14:14">
      <c r="N84" s="5"/>
    </row>
    <row r="85" spans="14:14">
      <c r="N85" s="5"/>
    </row>
    <row r="86" spans="14:14">
      <c r="N86" s="5"/>
    </row>
    <row r="87" spans="14:14">
      <c r="N87" s="5"/>
    </row>
    <row r="88" spans="14:14">
      <c r="N88" s="5"/>
    </row>
    <row r="89" spans="14:14">
      <c r="N89" s="5"/>
    </row>
    <row r="90" spans="14:14">
      <c r="N90" s="5"/>
    </row>
    <row r="91" spans="14:14">
      <c r="N91" s="5"/>
    </row>
    <row r="92" spans="14:14">
      <c r="N92" s="5"/>
    </row>
    <row r="93" spans="14:14">
      <c r="N93" s="5"/>
    </row>
    <row r="94" spans="14:14">
      <c r="N94" s="5"/>
    </row>
    <row r="95" spans="14:14">
      <c r="N95" s="5"/>
    </row>
    <row r="96" spans="14:14">
      <c r="N96" s="5"/>
    </row>
    <row r="97" spans="14:14">
      <c r="N97" s="5"/>
    </row>
    <row r="98" spans="14:14">
      <c r="N98" s="5"/>
    </row>
    <row r="99" spans="14:14">
      <c r="N99" s="5"/>
    </row>
    <row r="100" spans="14:14">
      <c r="N100" s="5"/>
    </row>
    <row r="101" spans="14:14">
      <c r="N101" s="5"/>
    </row>
    <row r="102" spans="14:14">
      <c r="N102" s="5"/>
    </row>
    <row r="103" spans="14:14">
      <c r="N103" s="5"/>
    </row>
    <row r="104" spans="14:14">
      <c r="N104" s="5"/>
    </row>
    <row r="105" spans="14:14">
      <c r="N105" s="5"/>
    </row>
    <row r="106" spans="14:14">
      <c r="N106" s="5"/>
    </row>
    <row r="107" spans="14:14">
      <c r="N107" s="5"/>
    </row>
    <row r="108" spans="14:14">
      <c r="N108" s="5"/>
    </row>
    <row r="109" spans="14:14">
      <c r="N109" s="5"/>
    </row>
    <row r="110" spans="14:14">
      <c r="N110" s="5"/>
    </row>
    <row r="111" spans="14:14">
      <c r="N111" s="5"/>
    </row>
    <row r="112" spans="14:14">
      <c r="N112" s="5"/>
    </row>
    <row r="113" spans="14:14">
      <c r="N113" s="5"/>
    </row>
    <row r="114" spans="14:14">
      <c r="N114" s="5"/>
    </row>
  </sheetData>
  <sheetProtection password="C62D" sheet="1" selectLockedCells="1"/>
  <protectedRanges>
    <protectedRange sqref="E20:E59" name="Диапазон1"/>
  </protectedRanges>
  <customSheetViews>
    <customSheetView guid="{BFE542F4-8A0C-4C42-A5CA-C7B0ACF2717E}" scale="110" hiddenRows="1" hiddenColumns="1">
      <selection activeCell="AA6" sqref="AA6"/>
      <pageMargins left="0.42708333333333331" right="0.23958333333333334" top="0.84375" bottom="0.98425196850393704" header="0.51181102362204722" footer="0.51181102362204722"/>
      <pageSetup paperSize="9" scale="75" fitToWidth="0" fitToHeight="0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1">
    <mergeCell ref="B3:D3"/>
    <mergeCell ref="E3:J3"/>
    <mergeCell ref="C9:C12"/>
    <mergeCell ref="D9:D12"/>
    <mergeCell ref="F9:F12"/>
    <mergeCell ref="G9:H12"/>
    <mergeCell ref="I9:I12"/>
    <mergeCell ref="J9:J12"/>
    <mergeCell ref="B9:B12"/>
    <mergeCell ref="B4:D4"/>
    <mergeCell ref="B7:J7"/>
  </mergeCells>
  <phoneticPr fontId="0" type="noConversion"/>
  <conditionalFormatting sqref="H1 J1 E3:J3 E4">
    <cfRule type="expression" dxfId="10" priority="7" stopIfTrue="1">
      <formula>ISBLANK(E1)</formula>
    </cfRule>
  </conditionalFormatting>
  <conditionalFormatting sqref="C20:D59 F20:J59">
    <cfRule type="expression" dxfId="9" priority="9" stopIfTrue="1">
      <formula>AND(OR(COUNTA($C20:$D20)&lt;&gt;0,COUNTA($F20:$K20)&lt;&gt;0),ISBLANK(C20))</formula>
    </cfRule>
  </conditionalFormatting>
  <conditionalFormatting sqref="B20:B59">
    <cfRule type="expression" dxfId="8" priority="1" stopIfTrue="1">
      <formula>C20&lt;&gt;""</formula>
    </cfRule>
    <cfRule type="expression" dxfId="7" priority="2" stopIfTrue="1">
      <formula>B20&lt;=$E$4</formula>
    </cfRule>
  </conditionalFormatting>
  <dataValidations xWindow="658" yWindow="896" count="13">
    <dataValidation type="whole" allowBlank="1" showInputMessage="1" showErrorMessage="1" promptTitle="Пол" prompt="1-Ж&#10;2-М" sqref="F20:F59">
      <formula1>1</formula1>
      <formula2>2</formula2>
    </dataValidation>
    <dataValidation type="list" allowBlank="1" showInputMessage="1" showErrorMessage="1" promptTitle="Месяц рождения" prompt="Выберите месяц из списка" sqref="G20:G59">
      <formula1>"01,02,03,04,05,06,07,08,09,10,11,12"</formula1>
    </dataValidation>
    <dataValidation allowBlank="1" showInputMessage="1" showErrorMessage="1" promptTitle="Фамилия, Имя учащегося" prompt=" " sqref="D20:D59"/>
    <dataValidation allowBlank="1" showErrorMessage="1" promptTitle="Код региона" prompt=" " sqref="F1"/>
    <dataValidation type="textLength" allowBlank="1" showInputMessage="1" showErrorMessage="1" promptTitle="Код школы" prompt=" " sqref="H1">
      <formula1>0</formula1>
      <formula2>6</formula2>
    </dataValidation>
    <dataValidation type="whole" allowBlank="1" showInputMessage="1" showErrorMessage="1" promptTitle="Анкета учителя" prompt="1 - анкета для учителя заполнена&#10;0 - анкета для учителя не заполнена" sqref="F6">
      <formula1>0</formula1>
      <formula2>1</formula2>
    </dataValidation>
    <dataValidation type="whole" allowBlank="1" showInputMessage="1" showErrorMessage="1" promptTitle="Номер по журналу" prompt=" " sqref="C20:C59">
      <formula1>1</formula1>
      <formula2>99</formula2>
    </dataValidation>
    <dataValidation allowBlank="1" showInputMessage="1" showErrorMessage="1" promptTitle="Код учащегося" prompt="Данное поле заполняется автоматически" sqref="E20:E59"/>
    <dataValidation type="whole" allowBlank="1" showInputMessage="1" showErrorMessage="1" promptTitle="Выполнение работы" prompt="Введите номер варианта, если учащийся выполнял работу (1 - 2).&#10;Введите 0, если учащийся не выполнял работу (не принимал участия)&#10;" sqref="J45:J59">
      <formula1>0</formula1>
      <formula2>2</formula2>
    </dataValidation>
    <dataValidation type="list" allowBlank="1" showDropDown="1" showInputMessage="1" showErrorMessage="1" promptTitle="Код класса" prompt=" " sqref="J1">
      <formula1>$N$8:$N$18</formula1>
    </dataValidation>
    <dataValidation type="whole" allowBlank="1" showInputMessage="1" showErrorMessage="1" promptTitle="Выполнение работы" prompt="Введите номер варианта, если учащийся выполнял работу (1 - 4).&#10;Введите 0, если учащийся не выполнял работу (не принимал участия)&#10;" sqref="J20:J44">
      <formula1>0</formula1>
      <formula2>4</formula2>
    </dataValidation>
    <dataValidation type="list" allowBlank="1" showInputMessage="1" showErrorMessage="1" promptTitle="Год рождения" prompt="Выберите год рождения из списка" sqref="H20:H59">
      <formula1>"95,96,97,98,99,00,01,02"</formula1>
    </dataValidation>
    <dataValidation type="list" allowBlank="1" showDropDown="1" showInputMessage="1" showErrorMessage="1" errorTitle="Неправильное заполнение поля" error="Значением поля является оценка или &quot;0&quot;, если ученик не аттестован." promptTitle="Отметка по математики" prompt="Укажите итоговую оценку по математике за курс начальной школы" sqref="I20:I59">
      <formula1>"2,3,4,5"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2"/>
  <headerFooter alignWithMargins="0">
    <oddHeader>&amp;CКГБУ "Региональный центр оценки качества образования"</oddHeader>
  </headerFooter>
  <ignoredErrors>
    <ignoredError sqref="G53:G59" numberStoredAsText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workbookViewId="0">
      <selection activeCell="E5" sqref="E5"/>
    </sheetView>
  </sheetViews>
  <sheetFormatPr defaultColWidth="58.5703125" defaultRowHeight="12.75"/>
  <cols>
    <col min="1" max="1" width="1.7109375" customWidth="1"/>
    <col min="2" max="2" width="8.85546875" customWidth="1"/>
    <col min="3" max="5" width="38.42578125" customWidth="1"/>
    <col min="6" max="6" width="6.5703125" customWidth="1"/>
    <col min="7" max="7" width="8.42578125" customWidth="1"/>
    <col min="8" max="8" width="6.5703125" customWidth="1"/>
    <col min="9" max="180" width="9.140625" customWidth="1"/>
    <col min="181" max="181" width="5.5703125" customWidth="1"/>
  </cols>
  <sheetData>
    <row r="1" spans="2:8" s="49" customFormat="1" ht="17.25" customHeight="1">
      <c r="B1" s="508" t="s">
        <v>201</v>
      </c>
      <c r="C1" s="508"/>
      <c r="D1" s="508"/>
      <c r="E1" s="508"/>
      <c r="F1" s="508"/>
      <c r="G1" s="508"/>
      <c r="H1" s="108"/>
    </row>
    <row r="2" spans="2:8" s="49" customFormat="1" ht="27.75" customHeight="1">
      <c r="B2" s="152" t="s">
        <v>88</v>
      </c>
      <c r="C2" s="509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D2" s="509"/>
      <c r="E2" s="158" t="s">
        <v>89</v>
      </c>
      <c r="F2" s="516" t="str">
        <f>'СПИСОК КЛАССА'!J1</f>
        <v>0502</v>
      </c>
      <c r="G2" s="516"/>
    </row>
    <row r="3" spans="2:8" s="49" customFormat="1" ht="7.5" customHeight="1">
      <c r="B3" s="494"/>
      <c r="C3" s="494"/>
      <c r="D3" s="494"/>
      <c r="E3" s="494"/>
      <c r="F3" s="494"/>
      <c r="G3" s="494"/>
      <c r="H3" s="494"/>
    </row>
    <row r="4" spans="2:8" ht="48" customHeight="1">
      <c r="B4" s="116"/>
      <c r="C4" s="153" t="s">
        <v>153</v>
      </c>
      <c r="D4" s="153" t="s">
        <v>154</v>
      </c>
      <c r="E4" s="153" t="s">
        <v>155</v>
      </c>
    </row>
    <row r="5" spans="2:8" ht="41.25" customHeight="1">
      <c r="B5" s="110" t="s">
        <v>94</v>
      </c>
      <c r="C5" s="166">
        <v>11</v>
      </c>
      <c r="D5" s="162">
        <f>Результаты_Класс!AB18</f>
        <v>8.2083333333333339</v>
      </c>
      <c r="E5" s="162">
        <f>Результаты_Класс!AC19</f>
        <v>74.621212121212125</v>
      </c>
      <c r="G5" s="112"/>
    </row>
    <row r="6" spans="2:8" ht="44.25" customHeight="1">
      <c r="C6" s="127"/>
    </row>
    <row r="36" ht="18" customHeight="1"/>
    <row r="70" ht="18" customHeight="1"/>
    <row r="73" ht="47.25" customHeight="1"/>
    <row r="74" ht="18.75" customHeight="1"/>
  </sheetData>
  <sheetProtection password="C62D" sheet="1" scenarios="1" selectLockedCells="1" selectUnlockedCells="1"/>
  <mergeCells count="4">
    <mergeCell ref="C2:D2"/>
    <mergeCell ref="B1:G1"/>
    <mergeCell ref="F2:G2"/>
    <mergeCell ref="B3:H3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workbookViewId="0">
      <selection activeCell="B6" sqref="B6"/>
    </sheetView>
  </sheetViews>
  <sheetFormatPr defaultColWidth="58.5703125" defaultRowHeight="12.75"/>
  <cols>
    <col min="1" max="1" width="23" customWidth="1"/>
    <col min="2" max="12" width="5.5703125" customWidth="1"/>
    <col min="13" max="179" width="9.140625" customWidth="1"/>
    <col min="180" max="180" width="5.5703125" customWidth="1"/>
  </cols>
  <sheetData>
    <row r="1" spans="1:12" s="49" customFormat="1" ht="17.25" customHeight="1">
      <c r="A1" s="517" t="s">
        <v>174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2" s="49" customFormat="1" ht="6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49" customFormat="1" ht="8.25" customHeight="1">
      <c r="A3" s="17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48" customHeight="1">
      <c r="A4" s="276" t="s">
        <v>156</v>
      </c>
      <c r="B4" s="303">
        <v>1</v>
      </c>
      <c r="C4" s="303">
        <v>2</v>
      </c>
      <c r="D4" s="303">
        <v>3</v>
      </c>
      <c r="E4" s="303">
        <v>4</v>
      </c>
      <c r="F4" s="303">
        <v>5</v>
      </c>
      <c r="G4" s="303">
        <v>6</v>
      </c>
      <c r="H4" s="303">
        <v>10</v>
      </c>
      <c r="I4" s="303">
        <v>11</v>
      </c>
      <c r="J4" s="303">
        <v>13</v>
      </c>
      <c r="K4" s="303">
        <v>14</v>
      </c>
      <c r="L4" s="303">
        <v>15</v>
      </c>
    </row>
    <row r="5" spans="1:12" ht="41.25" customHeight="1">
      <c r="A5" s="177" t="s">
        <v>158</v>
      </c>
      <c r="B5" s="178">
        <f>План!F6</f>
        <v>21</v>
      </c>
      <c r="C5" s="178">
        <f>План!F7</f>
        <v>22</v>
      </c>
      <c r="D5" s="178">
        <f>План!F8</f>
        <v>19</v>
      </c>
      <c r="E5" s="178">
        <f>План!F9</f>
        <v>14</v>
      </c>
      <c r="F5" s="178">
        <f>План!F10</f>
        <v>17</v>
      </c>
      <c r="G5" s="178">
        <f>План!F11</f>
        <v>18</v>
      </c>
      <c r="H5" s="178">
        <f>План!F12</f>
        <v>9</v>
      </c>
      <c r="I5" s="178">
        <f>План!F13</f>
        <v>15</v>
      </c>
      <c r="J5" s="178">
        <f>План!F14</f>
        <v>16</v>
      </c>
      <c r="K5" s="178">
        <f>План!F15</f>
        <v>16</v>
      </c>
      <c r="L5" s="178">
        <f>План!F16</f>
        <v>12</v>
      </c>
    </row>
    <row r="6" spans="1:12" ht="44.25" customHeight="1">
      <c r="A6" s="177" t="s">
        <v>159</v>
      </c>
      <c r="B6" s="179">
        <f>B5/'ОТВЕТЫ УЧАЩИХСЯ'!$E$7*100</f>
        <v>87.5</v>
      </c>
      <c r="C6" s="179">
        <f>C5/'ОТВЕТЫ УЧАЩИХСЯ'!$E$7*100</f>
        <v>91.666666666666657</v>
      </c>
      <c r="D6" s="179">
        <f>D5/'ОТВЕТЫ УЧАЩИХСЯ'!$E$7*100</f>
        <v>79.166666666666657</v>
      </c>
      <c r="E6" s="179">
        <f>E5/'ОТВЕТЫ УЧАЩИХСЯ'!$E$7*100</f>
        <v>58.333333333333336</v>
      </c>
      <c r="F6" s="179">
        <f>F5/'ОТВЕТЫ УЧАЩИХСЯ'!$E$7*100</f>
        <v>70.833333333333343</v>
      </c>
      <c r="G6" s="179">
        <f>G5/'ОТВЕТЫ УЧАЩИХСЯ'!$E$7*100</f>
        <v>75</v>
      </c>
      <c r="H6" s="179">
        <f>H5/'ОТВЕТЫ УЧАЩИХСЯ'!$E$7*100</f>
        <v>37.5</v>
      </c>
      <c r="I6" s="179">
        <f>I5/'ОТВЕТЫ УЧАЩИХСЯ'!$E$7*100</f>
        <v>62.5</v>
      </c>
      <c r="J6" s="179">
        <f>J5/'ОТВЕТЫ УЧАЩИХСЯ'!$E$7*100</f>
        <v>66.666666666666657</v>
      </c>
      <c r="K6" s="179">
        <f>K5/'ОТВЕТЫ УЧАЩИХСЯ'!$E$7*100</f>
        <v>66.666666666666657</v>
      </c>
      <c r="L6" s="179">
        <f>L5/'ОТВЕТЫ УЧАЩИХСЯ'!$E$7*100</f>
        <v>50</v>
      </c>
    </row>
    <row r="7" spans="1:1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1:1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1:12" ht="14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1:1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</sheetData>
  <sheetProtection password="C62D" sheet="1" scenarios="1" selectLockedCells="1" selectUnlockedCells="1"/>
  <mergeCells count="1">
    <mergeCell ref="A1:L1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workbookViewId="0">
      <selection activeCell="E8" sqref="E8"/>
    </sheetView>
  </sheetViews>
  <sheetFormatPr defaultRowHeight="12.75"/>
  <cols>
    <col min="1" max="1" width="17.28515625" customWidth="1"/>
    <col min="2" max="2" width="18" customWidth="1"/>
    <col min="3" max="4" width="7" hidden="1" customWidth="1"/>
    <col min="5" max="5" width="10.5703125" customWidth="1"/>
    <col min="6" max="6" width="6" hidden="1" customWidth="1"/>
    <col min="7" max="7" width="10.28515625" customWidth="1"/>
    <col min="8" max="8" width="10.7109375" hidden="1" customWidth="1"/>
    <col min="9" max="9" width="14" customWidth="1"/>
    <col min="10" max="10" width="10" hidden="1" customWidth="1"/>
    <col min="11" max="11" width="19.140625" customWidth="1"/>
    <col min="12" max="12" width="12.5703125" customWidth="1"/>
  </cols>
  <sheetData>
    <row r="1" spans="1:16" ht="20.25" customHeight="1">
      <c r="A1" s="520" t="str">
        <f>Базовый_2!B1</f>
        <v>Результаты выполнения итоговой работы по математике (5 класс, начало 2013/2014)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180"/>
      <c r="P1" s="180"/>
    </row>
    <row r="2" spans="1:16" ht="3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81"/>
      <c r="P2" s="181"/>
    </row>
    <row r="3" spans="1:16" ht="32.25" customHeight="1">
      <c r="A3" s="218" t="s">
        <v>88</v>
      </c>
      <c r="B3" s="519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3" s="519"/>
      <c r="D3" s="519"/>
      <c r="E3" s="519"/>
      <c r="F3" s="519"/>
      <c r="G3" s="519"/>
      <c r="H3" s="519"/>
      <c r="I3" s="519"/>
      <c r="J3" s="519"/>
      <c r="K3" s="519"/>
      <c r="L3" s="221" t="s">
        <v>89</v>
      </c>
      <c r="M3" s="222" t="str">
        <f>'СПИСОК КЛАССА'!J1</f>
        <v>0502</v>
      </c>
      <c r="N3" s="121"/>
    </row>
    <row r="4" spans="1:16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6" ht="15.75">
      <c r="A5" s="518" t="s">
        <v>129</v>
      </c>
      <c r="B5" s="518"/>
      <c r="C5" s="518"/>
      <c r="D5" s="518"/>
      <c r="E5" s="518"/>
      <c r="F5" s="518"/>
      <c r="G5" s="169">
        <f>'ОТВЕТЫ УЧАЩИХСЯ'!E7</f>
        <v>24</v>
      </c>
      <c r="H5" s="215"/>
      <c r="I5" s="167" t="s">
        <v>82</v>
      </c>
      <c r="J5" s="167"/>
      <c r="K5" s="121"/>
      <c r="L5" s="121"/>
      <c r="M5" s="121"/>
      <c r="N5" s="121"/>
    </row>
    <row r="6" spans="1:16" ht="36.75" customHeight="1">
      <c r="A6" s="171" t="s">
        <v>85</v>
      </c>
      <c r="B6" s="171" t="s">
        <v>160</v>
      </c>
      <c r="C6" s="171"/>
      <c r="D6" s="219"/>
      <c r="E6" s="171" t="s">
        <v>91</v>
      </c>
      <c r="F6" s="219"/>
      <c r="G6" s="171" t="s">
        <v>92</v>
      </c>
      <c r="H6" s="219"/>
      <c r="I6" s="171" t="s">
        <v>81</v>
      </c>
      <c r="J6" s="219"/>
      <c r="K6" s="171" t="s">
        <v>90</v>
      </c>
      <c r="L6" s="121"/>
      <c r="M6" s="121"/>
      <c r="N6" s="121"/>
    </row>
    <row r="7" spans="1:16" ht="18" customHeight="1">
      <c r="A7" s="172" t="s">
        <v>205</v>
      </c>
      <c r="B7" s="172">
        <v>2</v>
      </c>
      <c r="C7" s="172"/>
      <c r="D7" s="173">
        <f>Результаты_Класс!L16</f>
        <v>9</v>
      </c>
      <c r="E7" s="175">
        <f t="shared" ref="E7:E13" si="0">D7/$G$5*100</f>
        <v>37.5</v>
      </c>
      <c r="F7" s="173"/>
      <c r="G7" s="175"/>
      <c r="H7" s="174">
        <f>Результаты_Класс!L18</f>
        <v>15</v>
      </c>
      <c r="I7" s="175">
        <f t="shared" ref="I7:I13" si="1">H7/$G$5*100</f>
        <v>62.5</v>
      </c>
      <c r="J7" s="174">
        <f>Результаты_Класс!L19</f>
        <v>0</v>
      </c>
      <c r="K7" s="175">
        <f t="shared" ref="K7:K13" si="2">J7/$G$5*100</f>
        <v>0</v>
      </c>
      <c r="L7" s="121"/>
      <c r="M7" s="121"/>
      <c r="N7" s="121"/>
    </row>
    <row r="8" spans="1:16" ht="18" customHeight="1">
      <c r="A8" s="172" t="s">
        <v>206</v>
      </c>
      <c r="B8" s="172">
        <v>2</v>
      </c>
      <c r="C8" s="172"/>
      <c r="D8" s="173">
        <f>Результаты_Класс!M16</f>
        <v>15</v>
      </c>
      <c r="E8" s="175">
        <f t="shared" si="0"/>
        <v>62.5</v>
      </c>
      <c r="F8" s="173"/>
      <c r="G8" s="175"/>
      <c r="H8" s="174">
        <f>Результаты_Класс!M18</f>
        <v>9</v>
      </c>
      <c r="I8" s="175">
        <f t="shared" si="1"/>
        <v>37.5</v>
      </c>
      <c r="J8" s="174">
        <f>Результаты_Класс!M19</f>
        <v>0</v>
      </c>
      <c r="K8" s="175">
        <f t="shared" si="2"/>
        <v>0</v>
      </c>
      <c r="L8" s="121"/>
      <c r="M8" s="121"/>
      <c r="N8" s="121"/>
    </row>
    <row r="9" spans="1:16" ht="18" customHeight="1">
      <c r="A9" s="172" t="s">
        <v>207</v>
      </c>
      <c r="B9" s="172">
        <v>2</v>
      </c>
      <c r="C9" s="172"/>
      <c r="D9" s="173">
        <f>Результаты_Класс!N16</f>
        <v>16</v>
      </c>
      <c r="E9" s="175">
        <f t="shared" si="0"/>
        <v>66.666666666666657</v>
      </c>
      <c r="F9" s="173"/>
      <c r="G9" s="175"/>
      <c r="H9" s="174">
        <f>Результаты_Класс!N18</f>
        <v>7</v>
      </c>
      <c r="I9" s="175">
        <f t="shared" si="1"/>
        <v>29.166666666666668</v>
      </c>
      <c r="J9" s="174">
        <f>Результаты_Класс!N19</f>
        <v>1</v>
      </c>
      <c r="K9" s="175">
        <f t="shared" si="2"/>
        <v>4.1666666666666661</v>
      </c>
      <c r="L9" s="121"/>
      <c r="M9" s="121"/>
      <c r="N9" s="121"/>
    </row>
    <row r="10" spans="1:16" ht="18" customHeight="1">
      <c r="A10" s="172" t="s">
        <v>208</v>
      </c>
      <c r="B10" s="172">
        <v>2</v>
      </c>
      <c r="C10" s="172"/>
      <c r="D10" s="173">
        <f>Результаты_Класс!Q16</f>
        <v>15</v>
      </c>
      <c r="E10" s="175">
        <f t="shared" si="0"/>
        <v>62.5</v>
      </c>
      <c r="F10" s="173"/>
      <c r="G10" s="175"/>
      <c r="H10" s="174">
        <f>Результаты_Класс!Q18</f>
        <v>7</v>
      </c>
      <c r="I10" s="175">
        <f t="shared" si="1"/>
        <v>29.166666666666668</v>
      </c>
      <c r="J10" s="174">
        <f>Результаты_Класс!Q19</f>
        <v>2</v>
      </c>
      <c r="K10" s="175">
        <f t="shared" si="2"/>
        <v>8.3333333333333321</v>
      </c>
      <c r="L10" s="121"/>
      <c r="M10" s="121"/>
      <c r="N10" s="121"/>
    </row>
    <row r="11" spans="1:16" ht="18" customHeight="1">
      <c r="A11" s="172" t="s">
        <v>209</v>
      </c>
      <c r="B11" s="172">
        <v>2</v>
      </c>
      <c r="C11" s="172"/>
      <c r="D11" s="173">
        <f>Результаты_Класс!U16</f>
        <v>11</v>
      </c>
      <c r="E11" s="175">
        <f t="shared" si="0"/>
        <v>45.833333333333329</v>
      </c>
      <c r="F11" s="173">
        <f>Результаты_Класс!U17</f>
        <v>10</v>
      </c>
      <c r="G11" s="175">
        <f>F11/$G$5*100</f>
        <v>41.666666666666671</v>
      </c>
      <c r="H11" s="174">
        <f>Результаты_Класс!U18</f>
        <v>1</v>
      </c>
      <c r="I11" s="175">
        <f t="shared" si="1"/>
        <v>4.1666666666666661</v>
      </c>
      <c r="J11" s="174">
        <f>Результаты_Класс!U19</f>
        <v>2</v>
      </c>
      <c r="K11" s="175">
        <f t="shared" si="2"/>
        <v>8.3333333333333321</v>
      </c>
      <c r="L11" s="121"/>
      <c r="M11" s="121"/>
      <c r="N11" s="121"/>
    </row>
    <row r="12" spans="1:16" ht="18" customHeight="1">
      <c r="A12" s="172" t="s">
        <v>210</v>
      </c>
      <c r="B12" s="172">
        <v>2</v>
      </c>
      <c r="C12" s="172"/>
      <c r="D12" s="173">
        <f>Результаты_Класс!X16</f>
        <v>18</v>
      </c>
      <c r="E12" s="175">
        <f t="shared" si="0"/>
        <v>75</v>
      </c>
      <c r="F12" s="173"/>
      <c r="G12" s="175"/>
      <c r="H12" s="174">
        <f>Результаты_Класс!X18</f>
        <v>5</v>
      </c>
      <c r="I12" s="175">
        <f t="shared" si="1"/>
        <v>20.833333333333336</v>
      </c>
      <c r="J12" s="174">
        <f>Результаты_Класс!X19</f>
        <v>1</v>
      </c>
      <c r="K12" s="175">
        <f t="shared" si="2"/>
        <v>4.1666666666666661</v>
      </c>
      <c r="L12" s="121"/>
      <c r="M12" s="121"/>
      <c r="N12" s="121"/>
    </row>
    <row r="13" spans="1:16" ht="18" customHeight="1">
      <c r="A13" s="172" t="s">
        <v>157</v>
      </c>
      <c r="B13" s="172">
        <v>2</v>
      </c>
      <c r="C13" s="172"/>
      <c r="D13" s="173">
        <f>Результаты_Класс!Y16</f>
        <v>0</v>
      </c>
      <c r="E13" s="175">
        <f t="shared" si="0"/>
        <v>0</v>
      </c>
      <c r="F13" s="173"/>
      <c r="G13" s="175"/>
      <c r="H13" s="174">
        <f>Результаты_Класс!Y18</f>
        <v>0</v>
      </c>
      <c r="I13" s="175">
        <f t="shared" si="1"/>
        <v>0</v>
      </c>
      <c r="J13" s="174">
        <f>Результаты_Класс!Y19</f>
        <v>0</v>
      </c>
      <c r="K13" s="175">
        <f t="shared" si="2"/>
        <v>0</v>
      </c>
      <c r="L13" s="121"/>
      <c r="M13" s="121"/>
      <c r="N13" s="121"/>
    </row>
    <row r="14" spans="1:16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6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6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4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1:14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</sheetData>
  <sheetProtection password="C62D" sheet="1" scenarios="1" selectLockedCells="1" selectUnlockedCells="1"/>
  <mergeCells count="3">
    <mergeCell ref="A5:F5"/>
    <mergeCell ref="B3:K3"/>
    <mergeCell ref="A1:N1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"/>
  <sheetViews>
    <sheetView showWhiteSpace="0" topLeftCell="A16" zoomScalePageLayoutView="60" workbookViewId="0">
      <selection activeCell="B11" sqref="B11"/>
    </sheetView>
  </sheetViews>
  <sheetFormatPr defaultRowHeight="12.75"/>
  <cols>
    <col min="1" max="1" width="5.5703125" customWidth="1"/>
    <col min="2" max="2" width="49.7109375" customWidth="1"/>
    <col min="3" max="3" width="10.5703125" customWidth="1"/>
    <col min="4" max="4" width="6.28515625" customWidth="1"/>
    <col min="5" max="5" width="8.140625" customWidth="1"/>
    <col min="6" max="6" width="10" customWidth="1"/>
    <col min="7" max="7" width="13.5703125" customWidth="1"/>
    <col min="8" max="8" width="8.7109375" customWidth="1"/>
    <col min="9" max="9" width="5.7109375" customWidth="1"/>
    <col min="10" max="10" width="8.7109375" customWidth="1"/>
    <col min="11" max="11" width="5.7109375" customWidth="1"/>
    <col min="12" max="12" width="7" customWidth="1"/>
    <col min="13" max="13" width="4.7109375" customWidth="1"/>
    <col min="14" max="14" width="6.85546875" customWidth="1"/>
    <col min="15" max="15" width="5.140625" customWidth="1"/>
    <col min="16" max="16" width="7.28515625" customWidth="1"/>
    <col min="18" max="18" width="10.28515625" bestFit="1" customWidth="1"/>
  </cols>
  <sheetData>
    <row r="1" spans="1:2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2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3" ht="15.75" customHeight="1">
      <c r="A3" s="520" t="str">
        <f>Базовый_1!A1:G1</f>
        <v>Результаты выполнения итоговой работы по математике (5 класс, начало 2013/2014)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108"/>
      <c r="R3" s="108"/>
      <c r="S3" s="108"/>
      <c r="T3" s="108"/>
      <c r="U3" s="108"/>
      <c r="V3" s="108"/>
      <c r="W3" s="108"/>
    </row>
    <row r="4" spans="1:23" ht="37.5" customHeight="1">
      <c r="A4" s="124" t="s">
        <v>88</v>
      </c>
      <c r="B4" s="519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4" s="519"/>
      <c r="D4" s="519"/>
      <c r="E4" s="519"/>
      <c r="F4" s="519"/>
      <c r="G4" s="519"/>
      <c r="H4" s="519"/>
      <c r="I4" s="519"/>
      <c r="J4" s="123"/>
      <c r="K4" s="521" t="s">
        <v>89</v>
      </c>
      <c r="L4" s="521"/>
      <c r="M4" s="521"/>
      <c r="N4" s="220" t="str">
        <f>'СПИСОК КЛАССА'!J1</f>
        <v>0502</v>
      </c>
      <c r="O4" s="121"/>
      <c r="P4" s="119"/>
      <c r="Q4" s="118"/>
    </row>
    <row r="5" spans="1:23" ht="25.5" customHeight="1">
      <c r="A5" s="522" t="s">
        <v>129</v>
      </c>
      <c r="B5" s="522"/>
      <c r="C5" s="120">
        <f>'ОТВЕТЫ УЧАЩИХСЯ'!E7</f>
        <v>24</v>
      </c>
      <c r="D5" s="523"/>
      <c r="E5" s="523"/>
      <c r="F5" s="523"/>
      <c r="G5" s="348"/>
      <c r="H5" s="168"/>
      <c r="I5" s="524"/>
      <c r="J5" s="524"/>
      <c r="K5" s="524"/>
      <c r="L5" s="524"/>
      <c r="M5" s="304"/>
      <c r="N5" s="304"/>
      <c r="O5" s="121"/>
      <c r="P5" s="121"/>
    </row>
    <row r="6" spans="1:23" ht="11.25" customHeight="1" thickBot="1">
      <c r="A6" s="347"/>
      <c r="B6" s="347"/>
      <c r="C6" s="122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23" ht="59.25" customHeight="1">
      <c r="A7" s="525" t="s">
        <v>122</v>
      </c>
      <c r="B7" s="528" t="s">
        <v>226</v>
      </c>
      <c r="C7" s="531" t="s">
        <v>120</v>
      </c>
      <c r="D7" s="534" t="s">
        <v>162</v>
      </c>
      <c r="E7" s="535"/>
      <c r="F7" s="534" t="s">
        <v>163</v>
      </c>
      <c r="G7" s="536"/>
      <c r="H7" s="537" t="s">
        <v>121</v>
      </c>
      <c r="I7" s="540" t="s">
        <v>164</v>
      </c>
      <c r="J7" s="541"/>
      <c r="K7" s="541"/>
      <c r="L7" s="542"/>
      <c r="M7" s="540" t="s">
        <v>163</v>
      </c>
      <c r="N7" s="541"/>
      <c r="O7" s="541"/>
      <c r="P7" s="543"/>
    </row>
    <row r="8" spans="1:23" ht="28.5" customHeight="1">
      <c r="A8" s="526"/>
      <c r="B8" s="529"/>
      <c r="C8" s="532"/>
      <c r="D8" s="544" t="s">
        <v>166</v>
      </c>
      <c r="E8" s="546" t="s">
        <v>125</v>
      </c>
      <c r="F8" s="349" t="s">
        <v>123</v>
      </c>
      <c r="G8" s="125" t="s">
        <v>124</v>
      </c>
      <c r="H8" s="538"/>
      <c r="I8" s="548" t="s">
        <v>165</v>
      </c>
      <c r="J8" s="549"/>
      <c r="K8" s="548" t="s">
        <v>161</v>
      </c>
      <c r="L8" s="549"/>
      <c r="M8" s="548" t="s">
        <v>123</v>
      </c>
      <c r="N8" s="549"/>
      <c r="O8" s="548" t="s">
        <v>124</v>
      </c>
      <c r="P8" s="550"/>
    </row>
    <row r="9" spans="1:23" ht="27.75" customHeight="1" thickBot="1">
      <c r="A9" s="527"/>
      <c r="B9" s="530"/>
      <c r="C9" s="533"/>
      <c r="D9" s="545"/>
      <c r="E9" s="547"/>
      <c r="F9" s="350" t="s">
        <v>125</v>
      </c>
      <c r="G9" s="306" t="s">
        <v>125</v>
      </c>
      <c r="H9" s="539"/>
      <c r="I9" s="183" t="s">
        <v>82</v>
      </c>
      <c r="J9" s="183" t="s">
        <v>125</v>
      </c>
      <c r="K9" s="183" t="s">
        <v>82</v>
      </c>
      <c r="L9" s="183" t="s">
        <v>125</v>
      </c>
      <c r="M9" s="183" t="s">
        <v>82</v>
      </c>
      <c r="N9" s="183" t="s">
        <v>125</v>
      </c>
      <c r="O9" s="183" t="s">
        <v>82</v>
      </c>
      <c r="P9" s="184" t="s">
        <v>125</v>
      </c>
    </row>
    <row r="10" spans="1:23" ht="41.25" customHeight="1">
      <c r="A10" s="364">
        <v>1</v>
      </c>
      <c r="B10" s="365" t="s">
        <v>218</v>
      </c>
      <c r="C10" s="351" t="s">
        <v>221</v>
      </c>
      <c r="D10" s="352">
        <f>(Результаты_Класс!F17+Результаты_Класс!G17+Результаты_Класс!H17+Результаты_Класс!I17+Результаты_Класс!J17+Результаты_Класс!K17)</f>
        <v>111</v>
      </c>
      <c r="E10" s="307">
        <f>D10/($C$5*6)</f>
        <v>0.77083333333333337</v>
      </c>
      <c r="F10" s="307">
        <f>(Результаты_Класс!F18+Результаты_Класс!G18+Результаты_Класс!H18+Результаты_Класс!I18+Результаты_Класс!J18+Результаты_Класс!K18)/($C$5*6)</f>
        <v>0.22222222222222221</v>
      </c>
      <c r="G10" s="308">
        <f>(Результаты_Класс!F19+Результаты_Класс!G19+Результаты_Класс!H19+Результаты_Класс!I19+Результаты_Класс!J19+Результаты_Класс!K19)/($C$5*6)</f>
        <v>6.9444444444444441E-3</v>
      </c>
      <c r="H10" s="358" t="s">
        <v>224</v>
      </c>
      <c r="I10" s="186">
        <f>Результаты_Класс!L16+Результаты_Класс!M16+Результаты_Класс!N16</f>
        <v>40</v>
      </c>
      <c r="J10" s="359">
        <f>I10/($C$5*3)</f>
        <v>0.55555555555555558</v>
      </c>
      <c r="K10" s="186"/>
      <c r="L10" s="187"/>
      <c r="M10" s="186">
        <f>Результаты_Класс!L18+Результаты_Класс!M18+Результаты_Класс!N18</f>
        <v>31</v>
      </c>
      <c r="N10" s="187">
        <f>M10/($C$5*3)</f>
        <v>0.43055555555555558</v>
      </c>
      <c r="O10" s="186">
        <f>Результаты_Класс!L19+Результаты_Класс!M19+Результаты_Класс!N19</f>
        <v>1</v>
      </c>
      <c r="P10" s="360">
        <f>O10/($C$5*3)</f>
        <v>1.3888888888888888E-2</v>
      </c>
      <c r="Q10" s="182"/>
      <c r="R10" s="182"/>
      <c r="T10" s="127"/>
    </row>
    <row r="11" spans="1:23" ht="41.25" customHeight="1">
      <c r="A11" s="361">
        <v>2</v>
      </c>
      <c r="B11" s="362" t="s">
        <v>219</v>
      </c>
      <c r="C11" s="321" t="s">
        <v>222</v>
      </c>
      <c r="D11" s="322">
        <f>(Результаты_Класс!O17+Результаты_Класс!P17+Результаты_Класс!R17)</f>
        <v>49</v>
      </c>
      <c r="E11" s="323">
        <f>D11/($C$5*3)</f>
        <v>0.68055555555555558</v>
      </c>
      <c r="F11" s="323">
        <f>(Результаты_Класс!O18+Результаты_Класс!P18+Результаты_Класс!R18)/($C$5*3)</f>
        <v>0.31944444444444442</v>
      </c>
      <c r="G11" s="324">
        <f>(Результаты_Класс!O19+Результаты_Класс!P19+Результаты_Класс!R19)/($C$5*3)</f>
        <v>0</v>
      </c>
      <c r="H11" s="325">
        <v>12</v>
      </c>
      <c r="I11" s="126">
        <f>Результаты_Класс!Q16</f>
        <v>15</v>
      </c>
      <c r="J11" s="185">
        <f>I11/$C$5</f>
        <v>0.625</v>
      </c>
      <c r="K11" s="126"/>
      <c r="L11" s="185"/>
      <c r="M11" s="126">
        <f>Результаты_Класс!Q18</f>
        <v>7</v>
      </c>
      <c r="N11" s="185">
        <f>M11/$C$5</f>
        <v>0.29166666666666669</v>
      </c>
      <c r="O11" s="126">
        <f>Результаты_Класс!Q19</f>
        <v>2</v>
      </c>
      <c r="P11" s="305">
        <f>O11/$C$5</f>
        <v>8.3333333333333329E-2</v>
      </c>
      <c r="Q11" s="182"/>
      <c r="R11" s="182"/>
      <c r="S11" s="112"/>
      <c r="T11" s="127"/>
    </row>
    <row r="12" spans="1:23" ht="41.25" customHeight="1">
      <c r="A12" s="361">
        <v>3</v>
      </c>
      <c r="B12" s="363" t="s">
        <v>220</v>
      </c>
      <c r="C12" s="353" t="s">
        <v>223</v>
      </c>
      <c r="D12" s="354">
        <f>Результаты_Класс!S17+Результаты_Класс!T17</f>
        <v>37</v>
      </c>
      <c r="E12" s="355">
        <f>D12/($C$5*2)</f>
        <v>0.77083333333333337</v>
      </c>
      <c r="F12" s="355">
        <f>(Результаты_Класс!S18+Результаты_Класс!T18)/($C$5*2)</f>
        <v>0.1875</v>
      </c>
      <c r="G12" s="356">
        <f>(Результаты_Класс!S19+Результаты_Класс!T19)/(C5*2)</f>
        <v>4.1666666666666664E-2</v>
      </c>
      <c r="H12" s="357" t="s">
        <v>225</v>
      </c>
      <c r="I12" s="126">
        <f>Результаты_Класс!U16+Результаты_Класс!X16+Результаты_Класс!Y16</f>
        <v>29</v>
      </c>
      <c r="J12" s="185">
        <f>I12/($C$5*3)</f>
        <v>0.40277777777777779</v>
      </c>
      <c r="K12" s="126">
        <f>Результаты_Класс!U17</f>
        <v>10</v>
      </c>
      <c r="L12" s="185">
        <f>K12/($C$5*3)</f>
        <v>0.1388888888888889</v>
      </c>
      <c r="M12" s="126">
        <f>Результаты_Класс!U18+Результаты_Класс!X18+Результаты_Класс!Y18</f>
        <v>6</v>
      </c>
      <c r="N12" s="185">
        <f>M12/($C$5*3)</f>
        <v>8.3333333333333329E-2</v>
      </c>
      <c r="O12" s="126">
        <f>Результаты_Класс!U19+Результаты_Класс!X19+Результаты_Класс!Y19</f>
        <v>3</v>
      </c>
      <c r="P12" s="305">
        <f>O12/($C$5*3)</f>
        <v>4.1666666666666664E-2</v>
      </c>
      <c r="Q12" s="182"/>
      <c r="R12" s="182"/>
      <c r="S12" s="112"/>
      <c r="T12" s="127"/>
    </row>
    <row r="14" spans="1:23">
      <c r="J14" s="127"/>
    </row>
    <row r="15" spans="1:23">
      <c r="C15" s="112"/>
      <c r="G15" s="112"/>
    </row>
  </sheetData>
  <sheetProtection password="C62D" sheet="1" objects="1" scenarios="1" selectLockedCells="1" selectUnlockedCells="1"/>
  <mergeCells count="20">
    <mergeCell ref="H7:H9"/>
    <mergeCell ref="I7:L7"/>
    <mergeCell ref="M7:P7"/>
    <mergeCell ref="D8:D9"/>
    <mergeCell ref="E8:E9"/>
    <mergeCell ref="I8:J8"/>
    <mergeCell ref="K8:L8"/>
    <mergeCell ref="M8:N8"/>
    <mergeCell ref="O8:P8"/>
    <mergeCell ref="A7:A9"/>
    <mergeCell ref="B7:B9"/>
    <mergeCell ref="C7:C9"/>
    <mergeCell ref="D7:E7"/>
    <mergeCell ref="F7:G7"/>
    <mergeCell ref="A3:P3"/>
    <mergeCell ref="B4:I4"/>
    <mergeCell ref="K4:M4"/>
    <mergeCell ref="A5:B5"/>
    <mergeCell ref="D5:F5"/>
    <mergeCell ref="I5:L5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ignoredErrors>
    <ignoredError sqref="J11 M12 N11:P11 O12 O10" formula="1"/>
    <ignoredError sqref="C11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H107"/>
  <sheetViews>
    <sheetView view="pageLayout" topLeftCell="A25" zoomScaleNormal="90" workbookViewId="0">
      <selection activeCell="B39" sqref="B39:F39"/>
    </sheetView>
  </sheetViews>
  <sheetFormatPr defaultRowHeight="12.75"/>
  <cols>
    <col min="1" max="1" width="28.85546875" style="38" customWidth="1"/>
    <col min="2" max="2" width="13.28515625" customWidth="1"/>
    <col min="3" max="3" width="10.85546875" customWidth="1"/>
    <col min="5" max="5" width="12.28515625" customWidth="1"/>
    <col min="7" max="7" width="12" customWidth="1"/>
    <col min="8" max="8" width="19.5703125" customWidth="1"/>
    <col min="9" max="9" width="31.28515625" customWidth="1"/>
    <col min="10" max="10" width="27.85546875" customWidth="1"/>
    <col min="11" max="11" width="37.7109375" customWidth="1"/>
  </cols>
  <sheetData>
    <row r="1" spans="1:8" ht="16.5" thickBot="1">
      <c r="A1" s="18"/>
      <c r="B1" s="20" t="str">
        <f>IF(NOT(ISBLANK('СПИСОК КЛАССА'!F1)),'СПИСОК КЛАССА'!F1,"")</f>
        <v/>
      </c>
      <c r="C1" s="422" t="s">
        <v>0</v>
      </c>
      <c r="D1" s="423"/>
      <c r="E1" s="19" t="str">
        <f>IF(NOT(ISBLANK('СПИСОК КЛАССА'!H1)),'СПИСОК КЛАССА'!H1,"")</f>
        <v>138074</v>
      </c>
      <c r="F1" s="422" t="s">
        <v>1</v>
      </c>
      <c r="G1" s="423"/>
      <c r="H1" s="19" t="str">
        <f>IF(NOT(ISBLANK('СПИСОК КЛАССА'!J1)),'СПИСОК КЛАССА'!J1,"")</f>
        <v>0502</v>
      </c>
    </row>
    <row r="2" spans="1:8">
      <c r="A2" s="22"/>
      <c r="B2" s="21"/>
      <c r="C2" s="21"/>
      <c r="D2" s="21"/>
      <c r="E2" s="21"/>
      <c r="F2" s="21"/>
      <c r="G2" s="21"/>
      <c r="H2" s="21"/>
    </row>
    <row r="3" spans="1:8" ht="13.5" thickBot="1">
      <c r="A3" s="22"/>
      <c r="B3" s="21"/>
      <c r="C3" s="21"/>
      <c r="D3" s="21"/>
      <c r="E3" s="21"/>
      <c r="F3" s="21"/>
      <c r="G3" s="21"/>
      <c r="H3" s="21"/>
    </row>
    <row r="4" spans="1:8" ht="16.5" thickBot="1">
      <c r="A4" s="424" t="s">
        <v>227</v>
      </c>
      <c r="B4" s="425"/>
      <c r="C4" s="425"/>
      <c r="D4" s="425"/>
      <c r="E4" s="425"/>
      <c r="F4" s="425"/>
      <c r="G4" s="425"/>
      <c r="H4" s="426"/>
    </row>
    <row r="5" spans="1:8" ht="6" customHeight="1" thickBot="1">
      <c r="A5" s="23"/>
      <c r="B5" s="24"/>
      <c r="C5" s="25"/>
      <c r="D5" s="25"/>
      <c r="E5" s="25"/>
      <c r="F5" s="25"/>
      <c r="G5" s="25"/>
      <c r="H5" s="26"/>
    </row>
    <row r="6" spans="1:8" ht="18" customHeight="1" thickBot="1">
      <c r="A6" s="23" t="s">
        <v>25</v>
      </c>
      <c r="B6" s="33"/>
      <c r="C6" s="417" t="s">
        <v>240</v>
      </c>
      <c r="D6" s="418"/>
      <c r="E6" s="418"/>
      <c r="F6" s="418"/>
      <c r="G6" s="419"/>
      <c r="H6" s="26"/>
    </row>
    <row r="7" spans="1:8" ht="6" customHeight="1">
      <c r="A7" s="23"/>
      <c r="B7" s="24"/>
      <c r="C7" s="25"/>
      <c r="D7" s="25"/>
      <c r="E7" s="25"/>
      <c r="F7" s="25"/>
      <c r="G7" s="25"/>
      <c r="H7" s="26"/>
    </row>
    <row r="8" spans="1:8" ht="6" customHeight="1">
      <c r="A8" s="27"/>
      <c r="B8" s="28"/>
      <c r="C8" s="29"/>
      <c r="D8" s="29"/>
      <c r="E8" s="29"/>
      <c r="F8" s="29"/>
      <c r="G8" s="29"/>
      <c r="H8" s="30"/>
    </row>
    <row r="9" spans="1:8" ht="6" customHeight="1" thickBot="1">
      <c r="A9" s="23"/>
      <c r="B9" s="24"/>
      <c r="C9" s="25"/>
      <c r="D9" s="25"/>
      <c r="E9" s="25"/>
      <c r="F9" s="25"/>
      <c r="G9" s="25"/>
      <c r="H9" s="26"/>
    </row>
    <row r="10" spans="1:8" ht="20.25" customHeight="1" thickBot="1">
      <c r="A10" s="23" t="s">
        <v>26</v>
      </c>
      <c r="B10" s="33"/>
      <c r="C10" s="417" t="s">
        <v>241</v>
      </c>
      <c r="D10" s="418"/>
      <c r="E10" s="418"/>
      <c r="F10" s="418"/>
      <c r="G10" s="419"/>
      <c r="H10" s="26"/>
    </row>
    <row r="11" spans="1:8" ht="6" customHeight="1">
      <c r="A11" s="23"/>
      <c r="B11" s="24"/>
      <c r="C11" s="16"/>
      <c r="D11" s="16"/>
      <c r="E11" s="16"/>
      <c r="F11" s="16"/>
      <c r="G11" s="25"/>
      <c r="H11" s="26"/>
    </row>
    <row r="12" spans="1:8" ht="6" customHeight="1">
      <c r="A12" s="27"/>
      <c r="B12" s="28"/>
      <c r="C12" s="29"/>
      <c r="D12" s="29"/>
      <c r="E12" s="29"/>
      <c r="F12" s="29"/>
      <c r="G12" s="29"/>
      <c r="H12" s="30"/>
    </row>
    <row r="13" spans="1:8" ht="6" customHeight="1" thickBot="1">
      <c r="A13" s="23"/>
      <c r="B13" s="24"/>
      <c r="C13" s="25"/>
      <c r="D13" s="25"/>
      <c r="E13" s="25"/>
      <c r="F13" s="25"/>
      <c r="G13" s="25"/>
      <c r="H13" s="26"/>
    </row>
    <row r="14" spans="1:8" ht="12" customHeight="1" thickBot="1">
      <c r="A14" s="23" t="s">
        <v>27</v>
      </c>
      <c r="B14" s="33"/>
      <c r="C14" s="417" t="s">
        <v>242</v>
      </c>
      <c r="D14" s="418"/>
      <c r="E14" s="418"/>
      <c r="F14" s="418"/>
      <c r="G14" s="419"/>
      <c r="H14" s="26"/>
    </row>
    <row r="15" spans="1:8" ht="6.75" customHeight="1" thickBot="1">
      <c r="A15" s="23"/>
      <c r="B15" s="25"/>
      <c r="C15" s="31"/>
      <c r="D15" s="32"/>
      <c r="E15" s="32"/>
      <c r="F15" s="32"/>
      <c r="G15" s="32"/>
      <c r="H15" s="26"/>
    </row>
    <row r="16" spans="1:8" ht="36" customHeight="1" thickBot="1">
      <c r="A16" s="23"/>
      <c r="B16" s="25"/>
      <c r="C16" s="417"/>
      <c r="D16" s="418"/>
      <c r="E16" s="418"/>
      <c r="F16" s="418"/>
      <c r="G16" s="419"/>
      <c r="H16" s="26"/>
    </row>
    <row r="17" spans="1:8" ht="6" customHeight="1">
      <c r="A17" s="23"/>
      <c r="B17" s="24"/>
      <c r="C17" s="33"/>
      <c r="D17" s="25"/>
      <c r="E17" s="34"/>
      <c r="F17" s="16"/>
      <c r="G17" s="34"/>
      <c r="H17" s="35"/>
    </row>
    <row r="18" spans="1:8" ht="6" customHeight="1">
      <c r="A18" s="27"/>
      <c r="B18" s="28"/>
      <c r="C18" s="29"/>
      <c r="D18" s="29"/>
      <c r="E18" s="29"/>
      <c r="F18" s="29"/>
      <c r="G18" s="29"/>
      <c r="H18" s="30"/>
    </row>
    <row r="19" spans="1:8" ht="6" customHeight="1" thickBot="1">
      <c r="A19" s="23"/>
      <c r="B19" s="24"/>
      <c r="C19" s="25"/>
      <c r="D19" s="25"/>
      <c r="E19" s="34"/>
      <c r="F19" s="16"/>
      <c r="G19" s="34"/>
      <c r="H19" s="35"/>
    </row>
    <row r="20" spans="1:8" ht="14.25" customHeight="1" thickBot="1">
      <c r="A20" s="23" t="s">
        <v>28</v>
      </c>
      <c r="B20" s="25"/>
      <c r="C20" s="420"/>
      <c r="D20" s="421"/>
      <c r="E20" s="25"/>
      <c r="F20" s="25"/>
      <c r="G20" s="25"/>
      <c r="H20" s="26"/>
    </row>
    <row r="21" spans="1:8" ht="6" customHeight="1">
      <c r="A21" s="23"/>
      <c r="B21" s="33"/>
      <c r="C21" s="24"/>
      <c r="D21" s="25"/>
      <c r="E21" s="25"/>
      <c r="F21" s="25"/>
      <c r="G21" s="25"/>
      <c r="H21" s="26"/>
    </row>
    <row r="22" spans="1:8" ht="6" customHeight="1">
      <c r="A22" s="27"/>
      <c r="B22" s="28"/>
      <c r="C22" s="29"/>
      <c r="D22" s="29"/>
      <c r="E22" s="29"/>
      <c r="F22" s="29"/>
      <c r="G22" s="29"/>
      <c r="H22" s="30"/>
    </row>
    <row r="23" spans="1:8" ht="12" customHeight="1">
      <c r="A23" s="23" t="s">
        <v>29</v>
      </c>
      <c r="B23" s="25"/>
      <c r="C23" s="24" t="s">
        <v>30</v>
      </c>
      <c r="D23" s="25"/>
      <c r="E23" s="24" t="s">
        <v>31</v>
      </c>
      <c r="F23" s="25"/>
      <c r="G23" s="25"/>
      <c r="H23" s="26"/>
    </row>
    <row r="24" spans="1:8" ht="2.25" customHeight="1" thickBot="1">
      <c r="A24" s="23"/>
      <c r="B24" s="25"/>
      <c r="C24" s="25"/>
      <c r="D24" s="25"/>
      <c r="E24" s="25"/>
      <c r="F24" s="25"/>
      <c r="G24" s="25"/>
      <c r="H24" s="26"/>
    </row>
    <row r="25" spans="1:8" ht="12" customHeight="1" thickBot="1">
      <c r="A25" s="326"/>
      <c r="B25" s="39" t="s">
        <v>32</v>
      </c>
      <c r="C25" s="40">
        <v>0.4375</v>
      </c>
      <c r="D25" s="25"/>
      <c r="E25" s="40">
        <v>0.44097222222222227</v>
      </c>
      <c r="F25" s="25"/>
      <c r="G25" s="25"/>
      <c r="H25" s="26"/>
    </row>
    <row r="26" spans="1:8" ht="6" customHeight="1" thickBot="1">
      <c r="A26" s="23"/>
      <c r="B26" s="41"/>
      <c r="C26" s="25"/>
      <c r="D26" s="25"/>
      <c r="E26" s="25"/>
      <c r="F26" s="25"/>
      <c r="G26" s="25"/>
      <c r="H26" s="26"/>
    </row>
    <row r="27" spans="1:8" ht="12" customHeight="1" thickBot="1">
      <c r="A27" s="326"/>
      <c r="B27" s="39" t="s">
        <v>33</v>
      </c>
      <c r="C27" s="40">
        <v>0.44097222222222227</v>
      </c>
      <c r="D27" s="25"/>
      <c r="E27" s="40">
        <v>0.47222222222222227</v>
      </c>
      <c r="F27" s="25"/>
      <c r="G27" s="25"/>
      <c r="H27" s="26"/>
    </row>
    <row r="28" spans="1:8" ht="6" customHeight="1">
      <c r="A28" s="23"/>
      <c r="B28" s="24"/>
      <c r="C28" s="25"/>
      <c r="D28" s="25"/>
      <c r="E28" s="25"/>
      <c r="F28" s="25"/>
      <c r="G28" s="25"/>
      <c r="H28" s="26"/>
    </row>
    <row r="29" spans="1:8" ht="6" customHeight="1">
      <c r="A29" s="27"/>
      <c r="B29" s="28"/>
      <c r="C29" s="29"/>
      <c r="D29" s="29"/>
      <c r="E29" s="29"/>
      <c r="F29" s="29"/>
      <c r="G29" s="29"/>
      <c r="H29" s="30"/>
    </row>
    <row r="30" spans="1:8" ht="26.25" customHeight="1">
      <c r="A30" s="406" t="s">
        <v>34</v>
      </c>
      <c r="B30" s="407"/>
      <c r="C30" s="407"/>
      <c r="D30" s="407"/>
      <c r="E30" s="407"/>
      <c r="F30" s="407"/>
      <c r="G30" s="407"/>
      <c r="H30" s="408"/>
    </row>
    <row r="31" spans="1:8" ht="7.5" customHeight="1" thickBot="1">
      <c r="A31" s="277"/>
      <c r="B31" s="16"/>
      <c r="C31" s="16"/>
      <c r="D31" s="16"/>
      <c r="E31" s="16"/>
      <c r="F31" s="16"/>
      <c r="G31" s="16"/>
      <c r="H31" s="35"/>
    </row>
    <row r="32" spans="1:8" ht="12" customHeight="1" thickBot="1">
      <c r="A32" s="23"/>
      <c r="B32" s="16"/>
      <c r="C32" s="42" t="s">
        <v>243</v>
      </c>
      <c r="D32" s="33"/>
      <c r="E32" s="16"/>
      <c r="F32" s="16"/>
      <c r="G32" s="25"/>
      <c r="H32" s="26"/>
    </row>
    <row r="33" spans="1:8" ht="12" customHeight="1" thickBot="1">
      <c r="A33" s="23"/>
      <c r="B33" s="16"/>
      <c r="C33" s="16"/>
      <c r="D33" s="16"/>
      <c r="E33" s="16"/>
      <c r="F33" s="16"/>
      <c r="G33" s="25"/>
      <c r="H33" s="26"/>
    </row>
    <row r="34" spans="1:8" ht="71.25" customHeight="1" thickBot="1">
      <c r="A34" s="23"/>
      <c r="B34" s="327" t="s">
        <v>35</v>
      </c>
      <c r="C34" s="409"/>
      <c r="D34" s="410"/>
      <c r="E34" s="410"/>
      <c r="F34" s="410"/>
      <c r="G34" s="411"/>
      <c r="H34" s="26"/>
    </row>
    <row r="35" spans="1:8" ht="6" customHeight="1">
      <c r="A35" s="23"/>
      <c r="B35" s="24"/>
      <c r="C35" s="25"/>
      <c r="D35" s="25"/>
      <c r="E35" s="25"/>
      <c r="F35" s="25"/>
      <c r="G35" s="25"/>
      <c r="H35" s="26"/>
    </row>
    <row r="36" spans="1:8" ht="6" customHeight="1">
      <c r="A36" s="27"/>
      <c r="B36" s="28"/>
      <c r="C36" s="29"/>
      <c r="D36" s="29"/>
      <c r="E36" s="29"/>
      <c r="F36" s="29"/>
      <c r="G36" s="29"/>
      <c r="H36" s="30"/>
    </row>
    <row r="37" spans="1:8" ht="13.5" customHeight="1">
      <c r="A37" s="406" t="s">
        <v>36</v>
      </c>
      <c r="B37" s="412"/>
      <c r="C37" s="412"/>
      <c r="D37" s="412"/>
      <c r="E37" s="412"/>
      <c r="F37" s="412"/>
      <c r="G37" s="412"/>
      <c r="H37" s="413"/>
    </row>
    <row r="38" spans="1:8" ht="8.25" customHeight="1" thickBot="1">
      <c r="A38" s="277"/>
      <c r="B38" s="16"/>
      <c r="C38" s="16"/>
      <c r="D38" s="16"/>
      <c r="E38" s="16"/>
      <c r="F38" s="16"/>
      <c r="G38" s="16"/>
      <c r="H38" s="35"/>
    </row>
    <row r="39" spans="1:8" ht="57" customHeight="1" thickBot="1">
      <c r="A39" s="23"/>
      <c r="B39" s="414" t="s">
        <v>244</v>
      </c>
      <c r="C39" s="415"/>
      <c r="D39" s="415"/>
      <c r="E39" s="415"/>
      <c r="F39" s="416"/>
      <c r="G39" s="25"/>
      <c r="H39" s="26"/>
    </row>
    <row r="40" spans="1:8" ht="6" customHeight="1">
      <c r="A40" s="23"/>
      <c r="B40" s="24"/>
      <c r="C40" s="25"/>
      <c r="D40" s="25"/>
      <c r="E40" s="25"/>
      <c r="F40" s="25"/>
      <c r="G40" s="25"/>
      <c r="H40" s="26"/>
    </row>
    <row r="41" spans="1:8" ht="6" customHeight="1">
      <c r="A41" s="27"/>
      <c r="B41" s="28"/>
      <c r="C41" s="29"/>
      <c r="D41" s="29"/>
      <c r="E41" s="29"/>
      <c r="F41" s="29"/>
      <c r="G41" s="29"/>
      <c r="H41" s="30"/>
    </row>
    <row r="42" spans="1:8" ht="13.5" customHeight="1">
      <c r="A42" s="406" t="s">
        <v>145</v>
      </c>
      <c r="B42" s="412"/>
      <c r="C42" s="412"/>
      <c r="D42" s="412"/>
      <c r="E42" s="412"/>
      <c r="F42" s="412"/>
      <c r="G42" s="412"/>
      <c r="H42" s="413"/>
    </row>
    <row r="43" spans="1:8" ht="8.25" customHeight="1" thickBot="1">
      <c r="A43" s="277"/>
      <c r="B43" s="16"/>
      <c r="C43" s="16"/>
      <c r="D43" s="16"/>
      <c r="E43" s="16"/>
      <c r="F43" s="16"/>
      <c r="G43" s="16"/>
      <c r="H43" s="35"/>
    </row>
    <row r="44" spans="1:8" ht="134.25" customHeight="1" thickBot="1">
      <c r="A44" s="23"/>
      <c r="B44" s="414"/>
      <c r="C44" s="415"/>
      <c r="D44" s="415"/>
      <c r="E44" s="415"/>
      <c r="F44" s="416"/>
      <c r="G44" s="25"/>
      <c r="H44" s="26"/>
    </row>
    <row r="45" spans="1:8" ht="6" customHeight="1">
      <c r="A45" s="23"/>
      <c r="B45" s="24"/>
      <c r="C45" s="25"/>
      <c r="D45" s="25"/>
      <c r="E45" s="25"/>
      <c r="F45" s="25"/>
      <c r="G45" s="25"/>
      <c r="H45" s="26"/>
    </row>
    <row r="46" spans="1:8" ht="6" customHeight="1" thickBot="1">
      <c r="A46" s="45"/>
      <c r="B46" s="46"/>
      <c r="C46" s="47"/>
      <c r="D46" s="47"/>
      <c r="E46" s="47"/>
      <c r="F46" s="47"/>
      <c r="G46" s="47"/>
      <c r="H46" s="48"/>
    </row>
    <row r="47" spans="1:8" ht="21" customHeight="1">
      <c r="A47" s="404" t="s">
        <v>37</v>
      </c>
      <c r="B47" s="405"/>
      <c r="C47" s="405"/>
      <c r="D47" s="405"/>
      <c r="E47" s="405"/>
      <c r="F47" s="405"/>
      <c r="G47" s="405"/>
      <c r="H47" s="405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/>
    </row>
    <row r="51" spans="1:8">
      <c r="A51"/>
    </row>
    <row r="52" spans="1:8">
      <c r="A52"/>
    </row>
    <row r="53" spans="1:8">
      <c r="A53"/>
    </row>
    <row r="54" spans="1:8">
      <c r="A54"/>
    </row>
    <row r="55" spans="1:8">
      <c r="A55"/>
    </row>
    <row r="56" spans="1:8">
      <c r="A56"/>
    </row>
    <row r="57" spans="1:8">
      <c r="A57"/>
    </row>
    <row r="58" spans="1:8">
      <c r="A58"/>
    </row>
    <row r="59" spans="1:8">
      <c r="A59"/>
    </row>
    <row r="60" spans="1:8" hidden="1">
      <c r="A60"/>
      <c r="B60" t="s">
        <v>39</v>
      </c>
      <c r="C60" t="s">
        <v>40</v>
      </c>
      <c r="D60" t="s">
        <v>38</v>
      </c>
      <c r="E60" t="s">
        <v>41</v>
      </c>
      <c r="F60" t="s">
        <v>42</v>
      </c>
    </row>
    <row r="61" spans="1:8" hidden="1">
      <c r="A61"/>
      <c r="B61" t="s">
        <v>43</v>
      </c>
      <c r="C61" t="s">
        <v>44</v>
      </c>
      <c r="D61" t="s">
        <v>45</v>
      </c>
      <c r="E61" t="s">
        <v>46</v>
      </c>
      <c r="F61" t="s">
        <v>47</v>
      </c>
    </row>
    <row r="62" spans="1:8" hidden="1">
      <c r="A62"/>
      <c r="B62" t="s">
        <v>48</v>
      </c>
      <c r="C62" t="s">
        <v>49</v>
      </c>
      <c r="D62" t="s">
        <v>50</v>
      </c>
      <c r="E62" t="s">
        <v>51</v>
      </c>
      <c r="F62" t="s">
        <v>52</v>
      </c>
    </row>
    <row r="63" spans="1:8" hidden="1">
      <c r="A63"/>
      <c r="B63" t="s">
        <v>53</v>
      </c>
      <c r="C63" t="s">
        <v>54</v>
      </c>
      <c r="D63" t="s">
        <v>55</v>
      </c>
      <c r="E63" t="s">
        <v>56</v>
      </c>
      <c r="F63" t="s">
        <v>57</v>
      </c>
    </row>
    <row r="64" spans="1:8" hidden="1">
      <c r="A64"/>
    </row>
    <row r="65" spans="1:6" hidden="1">
      <c r="A65"/>
    </row>
    <row r="66" spans="1:6" hidden="1">
      <c r="A66"/>
      <c r="B66" t="s">
        <v>58</v>
      </c>
      <c r="D66" t="s">
        <v>59</v>
      </c>
      <c r="E66" t="s">
        <v>60</v>
      </c>
      <c r="F66" t="s">
        <v>61</v>
      </c>
    </row>
    <row r="67" spans="1:6" hidden="1">
      <c r="A67"/>
      <c r="B67" t="s">
        <v>62</v>
      </c>
      <c r="D67" t="s">
        <v>63</v>
      </c>
      <c r="E67" t="s">
        <v>64</v>
      </c>
      <c r="F67" t="s">
        <v>65</v>
      </c>
    </row>
    <row r="68" spans="1:6" hidden="1">
      <c r="A68"/>
    </row>
    <row r="69" spans="1:6">
      <c r="A69"/>
    </row>
    <row r="70" spans="1:6">
      <c r="A70"/>
    </row>
    <row r="71" spans="1:6">
      <c r="A71"/>
    </row>
    <row r="72" spans="1:6">
      <c r="A72"/>
    </row>
    <row r="73" spans="1:6">
      <c r="A73"/>
    </row>
    <row r="74" spans="1:6">
      <c r="A74"/>
    </row>
    <row r="75" spans="1:6">
      <c r="A75"/>
    </row>
    <row r="76" spans="1:6">
      <c r="A76"/>
    </row>
    <row r="77" spans="1:6">
      <c r="A77"/>
    </row>
    <row r="78" spans="1:6">
      <c r="A78"/>
    </row>
    <row r="79" spans="1:6">
      <c r="A79"/>
    </row>
    <row r="80" spans="1:6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sheetProtection password="C62D" sheet="1" selectLockedCells="1"/>
  <protectedRanges>
    <protectedRange sqref="C6" name="Диапазон3"/>
    <protectedRange sqref="C10" name="Диапазон4"/>
    <protectedRange sqref="C14" name="Диапазон5"/>
    <protectedRange sqref="C16" name="Диапазон6"/>
    <protectedRange sqref="C20" name="Диапазон7"/>
    <protectedRange sqref="C25 E25 C27 E27" name="Диапазон8"/>
    <protectedRange sqref="C32 C34 B39 B44" name="Диапазон9"/>
  </protectedRanges>
  <customSheetViews>
    <customSheetView guid="{BFE542F4-8A0C-4C42-A5CA-C7B0ACF2717E}" scale="85" hiddenRows="1">
      <selection activeCell="AA6" sqref="AA6"/>
      <pageMargins left="0.35433070866141736" right="0.35433070866141736" top="0.97395833333333337" bottom="0.39370078740157483" header="0.51181102362204722" footer="0.51181102362204722"/>
      <pageSetup paperSize="9" scale="85" fitToWidth="0" fitToHeight="0" orientation="portrait" verticalDpi="0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5">
    <mergeCell ref="C1:D1"/>
    <mergeCell ref="F1:G1"/>
    <mergeCell ref="A4:H4"/>
    <mergeCell ref="C6:G6"/>
    <mergeCell ref="C10:G10"/>
    <mergeCell ref="C14:G14"/>
    <mergeCell ref="C16:G16"/>
    <mergeCell ref="C20:D20"/>
    <mergeCell ref="A42:H42"/>
    <mergeCell ref="B44:F44"/>
    <mergeCell ref="A47:H47"/>
    <mergeCell ref="A30:H30"/>
    <mergeCell ref="C34:G34"/>
    <mergeCell ref="A37:H37"/>
    <mergeCell ref="B39:F39"/>
  </mergeCells>
  <phoneticPr fontId="0" type="noConversion"/>
  <conditionalFormatting sqref="C6 C10 C14 B1:C1 H1 E1:F1 E27 B39:F39 C32 C20 C25 C27 E25 B44:F44">
    <cfRule type="expression" dxfId="6" priority="1" stopIfTrue="1">
      <formula>ISBLANK(B1)</formula>
    </cfRule>
  </conditionalFormatting>
  <conditionalFormatting sqref="C16:G16">
    <cfRule type="expression" dxfId="5" priority="2" stopIfTrue="1">
      <formula>AND(ISBLANK(C16),C14="Другое. Запишите, пожалуйста:")</formula>
    </cfRule>
  </conditionalFormatting>
  <conditionalFormatting sqref="C34:G34">
    <cfRule type="expression" dxfId="4" priority="3" stopIfTrue="1">
      <formula>AND(ISBLANK(C34),C32="ДА")</formula>
    </cfRule>
  </conditionalFormatting>
  <dataValidations xWindow="579" yWindow="592" count="17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1">
      <formula1>3</formula1>
      <formula2>6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6.09.13)" sqref="C20:D20">
      <formula1>41365</formula1>
      <formula2>41426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 B35 B45 B40 B11">
      <formula1>ПРОТОКОЛ!#REF!</formula1>
    </dataValidation>
  </dataValidations>
  <pageMargins left="0.35433070866141736" right="0.35433070866141736" top="0.97395833333333337" bottom="0.39370078740157483" header="0.51181102362204722" footer="0.51181102362204722"/>
  <pageSetup paperSize="9" scale="85" fitToWidth="0" fitToHeight="0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O95"/>
  <sheetViews>
    <sheetView view="pageLayout" workbookViewId="0">
      <selection activeCell="B44" sqref="B44"/>
    </sheetView>
  </sheetViews>
  <sheetFormatPr defaultRowHeight="12.75"/>
  <cols>
    <col min="1" max="1" width="28.85546875" style="38" customWidth="1"/>
    <col min="2" max="2" width="13.28515625" customWidth="1"/>
    <col min="3" max="3" width="10.85546875" customWidth="1"/>
    <col min="5" max="5" width="16.5703125" customWidth="1"/>
    <col min="7" max="7" width="12" customWidth="1"/>
    <col min="8" max="8" width="14.85546875" customWidth="1"/>
    <col min="10" max="10" width="13.42578125" customWidth="1"/>
    <col min="16" max="16" width="12.42578125" customWidth="1"/>
    <col min="17" max="17" width="58.140625" customWidth="1"/>
    <col min="18" max="18" width="44.5703125" customWidth="1"/>
    <col min="19" max="19" width="31.28515625" customWidth="1"/>
    <col min="20" max="20" width="27.85546875" customWidth="1"/>
    <col min="21" max="21" width="37.7109375" customWidth="1"/>
  </cols>
  <sheetData>
    <row r="1" spans="1:8" ht="6.75" customHeight="1" thickBot="1">
      <c r="A1" s="146"/>
      <c r="B1" s="121"/>
      <c r="C1" s="121"/>
      <c r="D1" s="121"/>
      <c r="E1" s="121"/>
      <c r="F1" s="121"/>
      <c r="G1" s="121"/>
      <c r="H1" s="121"/>
    </row>
    <row r="2" spans="1:8" ht="15.75" customHeight="1" thickBot="1">
      <c r="A2" s="52"/>
      <c r="B2" s="20"/>
      <c r="C2" s="422" t="s">
        <v>0</v>
      </c>
      <c r="D2" s="423"/>
      <c r="E2" s="19" t="str">
        <f>IF(NOT(ISBLANK('СПИСОК КЛАССА'!H1)),'СПИСОК КЛАССА'!H1,"")</f>
        <v>138074</v>
      </c>
      <c r="F2" s="422" t="s">
        <v>1</v>
      </c>
      <c r="G2" s="423"/>
      <c r="H2" s="19" t="str">
        <f>IF(NOT(ISBLANK('СПИСОК КЛАССА'!J1)),'СПИСОК КЛАССА'!J1,"")</f>
        <v>0502</v>
      </c>
    </row>
    <row r="3" spans="1:8" ht="7.5" customHeight="1">
      <c r="A3" s="22"/>
      <c r="B3" s="21"/>
      <c r="C3" s="21"/>
      <c r="D3" s="21"/>
      <c r="E3" s="21"/>
      <c r="F3" s="21"/>
      <c r="G3" s="21"/>
      <c r="H3" s="21"/>
    </row>
    <row r="4" spans="1:8" ht="6.75" customHeight="1" thickBot="1">
      <c r="A4" s="22"/>
      <c r="B4" s="21"/>
      <c r="C4" s="21"/>
      <c r="D4" s="21"/>
      <c r="E4" s="21"/>
      <c r="F4" s="21"/>
      <c r="G4" s="21"/>
      <c r="H4" s="21"/>
    </row>
    <row r="5" spans="1:8" ht="16.5" thickBot="1">
      <c r="A5" s="424" t="s">
        <v>66</v>
      </c>
      <c r="B5" s="425"/>
      <c r="C5" s="425"/>
      <c r="D5" s="425"/>
      <c r="E5" s="425"/>
      <c r="F5" s="425"/>
      <c r="G5" s="425"/>
      <c r="H5" s="426"/>
    </row>
    <row r="6" spans="1:8" ht="9" customHeight="1" thickBot="1">
      <c r="A6" s="23"/>
      <c r="B6" s="25"/>
      <c r="C6" s="25"/>
      <c r="D6" s="25"/>
      <c r="E6" s="25"/>
      <c r="F6" s="25"/>
      <c r="G6" s="25"/>
      <c r="H6" s="26"/>
    </row>
    <row r="7" spans="1:8" ht="16.5" thickBot="1">
      <c r="A7" s="23" t="s">
        <v>67</v>
      </c>
      <c r="B7" s="19" t="str">
        <f>IF(NOT(ISBLANK('СПИСОК КЛАССА'!J1)),'СПИСОК КЛАССА'!J1,"")</f>
        <v>0502</v>
      </c>
      <c r="C7" s="43"/>
      <c r="D7" s="33"/>
      <c r="E7" s="25"/>
      <c r="F7" s="25"/>
      <c r="G7" s="25"/>
      <c r="H7" s="26"/>
    </row>
    <row r="8" spans="1:8" ht="8.25" customHeight="1">
      <c r="A8" s="23"/>
      <c r="B8" s="44"/>
      <c r="C8" s="25"/>
      <c r="D8" s="25"/>
      <c r="E8" s="25"/>
      <c r="F8" s="25"/>
      <c r="G8" s="25"/>
      <c r="H8" s="26"/>
    </row>
    <row r="9" spans="1:8" ht="6" customHeight="1">
      <c r="A9" s="27"/>
      <c r="B9" s="28"/>
      <c r="C9" s="29"/>
      <c r="D9" s="29"/>
      <c r="E9" s="29"/>
      <c r="F9" s="29"/>
      <c r="G9" s="29"/>
      <c r="H9" s="30"/>
    </row>
    <row r="10" spans="1:8" ht="6" customHeight="1" thickBot="1">
      <c r="A10" s="23"/>
      <c r="B10" s="24"/>
      <c r="C10" s="25"/>
      <c r="D10" s="25"/>
      <c r="E10" s="25"/>
      <c r="F10" s="25"/>
      <c r="G10" s="25"/>
      <c r="H10" s="26"/>
    </row>
    <row r="11" spans="1:8" ht="15.75" customHeight="1" thickBot="1">
      <c r="A11" s="23" t="s">
        <v>68</v>
      </c>
      <c r="B11" s="42" t="s">
        <v>245</v>
      </c>
      <c r="C11" s="25"/>
      <c r="D11" s="25"/>
      <c r="E11" s="25"/>
      <c r="F11" s="25"/>
      <c r="G11" s="25"/>
      <c r="H11" s="26"/>
    </row>
    <row r="12" spans="1:8" ht="6.75" customHeight="1">
      <c r="A12" s="23"/>
      <c r="B12" s="24"/>
      <c r="C12" s="25"/>
      <c r="D12" s="25"/>
      <c r="E12" s="25"/>
      <c r="F12" s="25"/>
      <c r="G12" s="25"/>
      <c r="H12" s="26"/>
    </row>
    <row r="13" spans="1:8" ht="6" customHeight="1">
      <c r="A13" s="27"/>
      <c r="B13" s="28"/>
      <c r="C13" s="29"/>
      <c r="D13" s="29"/>
      <c r="E13" s="29"/>
      <c r="F13" s="29"/>
      <c r="G13" s="29"/>
      <c r="H13" s="30"/>
    </row>
    <row r="14" spans="1:8" ht="6.75" customHeight="1" thickBot="1">
      <c r="A14" s="23"/>
      <c r="B14" s="24"/>
      <c r="C14" s="25"/>
      <c r="D14" s="25"/>
      <c r="E14" s="25"/>
      <c r="F14" s="25"/>
      <c r="G14" s="25"/>
      <c r="H14" s="26"/>
    </row>
    <row r="15" spans="1:8" ht="16.5" customHeight="1" thickBot="1">
      <c r="A15" s="23" t="s">
        <v>69</v>
      </c>
      <c r="B15" s="417" t="s">
        <v>96</v>
      </c>
      <c r="C15" s="427"/>
      <c r="D15" s="427"/>
      <c r="E15" s="418"/>
      <c r="F15" s="419"/>
      <c r="G15" s="25"/>
      <c r="H15" s="26"/>
    </row>
    <row r="16" spans="1:8" ht="6.75" customHeight="1">
      <c r="A16" s="23"/>
      <c r="B16" s="24"/>
      <c r="C16" s="16"/>
      <c r="D16" s="16"/>
      <c r="E16" s="16"/>
      <c r="F16" s="16"/>
      <c r="G16" s="25"/>
      <c r="H16" s="26"/>
    </row>
    <row r="17" spans="1:15" ht="6" customHeight="1">
      <c r="A17" s="27"/>
      <c r="B17" s="28"/>
      <c r="C17" s="29"/>
      <c r="D17" s="29"/>
      <c r="E17" s="29"/>
      <c r="F17" s="29"/>
      <c r="G17" s="29"/>
      <c r="H17" s="30"/>
    </row>
    <row r="18" spans="1:15" ht="7.5" customHeight="1" thickBot="1">
      <c r="A18" s="23"/>
      <c r="B18" s="24"/>
      <c r="C18" s="25"/>
      <c r="D18" s="25"/>
      <c r="E18" s="25"/>
      <c r="F18" s="25"/>
      <c r="G18" s="25"/>
      <c r="H18" s="26"/>
    </row>
    <row r="19" spans="1:15" ht="14.25" customHeight="1" thickBot="1">
      <c r="A19" s="23" t="s">
        <v>70</v>
      </c>
      <c r="B19" s="42">
        <v>45</v>
      </c>
      <c r="C19" s="25" t="s">
        <v>71</v>
      </c>
      <c r="D19" s="25"/>
      <c r="E19" s="34"/>
      <c r="F19" s="16"/>
      <c r="G19" s="34"/>
      <c r="H19" s="35"/>
      <c r="I19" s="37"/>
      <c r="J19" s="37"/>
      <c r="K19" s="37"/>
      <c r="L19" s="37"/>
      <c r="M19" s="37"/>
      <c r="N19" s="37"/>
      <c r="O19" s="37"/>
    </row>
    <row r="20" spans="1:15" ht="6.75" customHeight="1">
      <c r="A20" s="23"/>
      <c r="B20" s="24"/>
      <c r="C20" s="33"/>
      <c r="D20" s="25"/>
      <c r="E20" s="34"/>
      <c r="F20" s="16"/>
      <c r="G20" s="34"/>
      <c r="H20" s="35"/>
      <c r="I20" s="37"/>
      <c r="J20" s="37"/>
      <c r="K20" s="37"/>
      <c r="L20" s="37"/>
      <c r="M20" s="37"/>
      <c r="N20" s="37"/>
      <c r="O20" s="37"/>
    </row>
    <row r="21" spans="1:15" ht="6" customHeight="1">
      <c r="A21" s="27"/>
      <c r="B21" s="28"/>
      <c r="C21" s="29"/>
      <c r="D21" s="29"/>
      <c r="E21" s="29"/>
      <c r="F21" s="29"/>
      <c r="G21" s="29"/>
      <c r="H21" s="30"/>
    </row>
    <row r="22" spans="1:15" ht="7.5" customHeight="1" thickBot="1">
      <c r="A22" s="23"/>
      <c r="B22" s="24"/>
      <c r="C22" s="25"/>
      <c r="D22" s="25"/>
      <c r="E22" s="25"/>
      <c r="F22" s="25"/>
      <c r="G22" s="25"/>
      <c r="H22" s="26"/>
    </row>
    <row r="23" spans="1:15" ht="16.5" customHeight="1" thickBot="1">
      <c r="A23" s="23" t="s">
        <v>72</v>
      </c>
      <c r="B23" s="42">
        <v>27</v>
      </c>
      <c r="C23" s="25"/>
      <c r="D23" s="25"/>
      <c r="E23" s="34"/>
      <c r="F23" s="16"/>
      <c r="G23" s="34"/>
      <c r="H23" s="35"/>
      <c r="I23" s="37"/>
      <c r="J23" s="37"/>
      <c r="K23" s="37"/>
      <c r="L23" s="37"/>
      <c r="M23" s="37"/>
      <c r="N23" s="37"/>
      <c r="O23" s="37"/>
    </row>
    <row r="24" spans="1:15" ht="6.75" customHeight="1">
      <c r="A24" s="23"/>
      <c r="B24" s="24"/>
      <c r="C24" s="33"/>
      <c r="D24" s="25"/>
      <c r="E24" s="34"/>
      <c r="F24" s="16"/>
      <c r="G24" s="34"/>
      <c r="H24" s="35"/>
      <c r="I24" s="37"/>
      <c r="J24" s="37"/>
      <c r="K24" s="37"/>
      <c r="L24" s="37"/>
      <c r="M24" s="37"/>
      <c r="N24" s="37"/>
      <c r="O24" s="37"/>
    </row>
    <row r="25" spans="1:15" ht="6" customHeight="1">
      <c r="A25" s="27"/>
      <c r="B25" s="28"/>
      <c r="C25" s="29"/>
      <c r="D25" s="29"/>
      <c r="E25" s="29"/>
      <c r="F25" s="29"/>
      <c r="G25" s="29"/>
      <c r="H25" s="30"/>
    </row>
    <row r="26" spans="1:15" ht="8.25" customHeight="1" thickBot="1">
      <c r="A26" s="23"/>
      <c r="B26" s="24"/>
      <c r="C26" s="25"/>
      <c r="D26" s="25"/>
      <c r="E26" s="34"/>
      <c r="F26" s="16"/>
      <c r="G26" s="34"/>
      <c r="H26" s="35"/>
      <c r="I26" s="37"/>
      <c r="J26" s="37"/>
      <c r="K26" s="37"/>
      <c r="L26" s="37"/>
      <c r="M26" s="37"/>
      <c r="N26" s="37"/>
      <c r="O26" s="37"/>
    </row>
    <row r="27" spans="1:15" ht="14.25" customHeight="1" thickBot="1">
      <c r="A27" s="23" t="s">
        <v>175</v>
      </c>
      <c r="B27" s="25"/>
      <c r="C27" s="42">
        <v>5</v>
      </c>
      <c r="D27" s="25"/>
      <c r="E27" s="25"/>
      <c r="F27" s="25"/>
      <c r="G27" s="25"/>
      <c r="H27" s="26"/>
    </row>
    <row r="28" spans="1:15" ht="7.5" customHeight="1">
      <c r="A28" s="23"/>
      <c r="B28" s="33"/>
      <c r="C28" s="24"/>
      <c r="D28" s="25"/>
      <c r="E28" s="25"/>
      <c r="F28" s="25"/>
      <c r="G28" s="25"/>
      <c r="H28" s="26"/>
    </row>
    <row r="29" spans="1:15" ht="6" customHeight="1">
      <c r="A29" s="27"/>
      <c r="B29" s="28"/>
      <c r="C29" s="29"/>
      <c r="D29" s="29"/>
      <c r="E29" s="29"/>
      <c r="F29" s="29"/>
      <c r="G29" s="29"/>
      <c r="H29" s="30"/>
    </row>
    <row r="30" spans="1:15">
      <c r="A30" s="23" t="s">
        <v>172</v>
      </c>
      <c r="B30" s="25"/>
      <c r="C30" s="25"/>
      <c r="D30" s="25"/>
      <c r="E30" s="25"/>
      <c r="F30" s="25"/>
      <c r="G30" s="25"/>
      <c r="H30" s="26"/>
    </row>
    <row r="31" spans="1:15" ht="5.25" customHeight="1" thickBot="1">
      <c r="A31" s="23"/>
      <c r="B31" s="25"/>
      <c r="C31" s="25"/>
      <c r="D31" s="25"/>
      <c r="E31" s="25"/>
      <c r="F31" s="25"/>
      <c r="G31" s="25"/>
      <c r="H31" s="26"/>
    </row>
    <row r="32" spans="1:15" ht="18.75" customHeight="1" thickBot="1">
      <c r="A32" s="23"/>
      <c r="B32" s="417" t="s">
        <v>246</v>
      </c>
      <c r="C32" s="418"/>
      <c r="D32" s="418"/>
      <c r="E32" s="418"/>
      <c r="F32" s="419"/>
      <c r="G32" s="25"/>
      <c r="H32" s="26"/>
    </row>
    <row r="33" spans="1:8" ht="6" customHeight="1">
      <c r="A33" s="23"/>
      <c r="B33" s="24"/>
      <c r="C33" s="25"/>
      <c r="D33" s="25"/>
      <c r="E33" s="25"/>
      <c r="F33" s="25"/>
      <c r="G33" s="25"/>
      <c r="H33" s="26"/>
    </row>
    <row r="34" spans="1:8" ht="6" customHeight="1">
      <c r="A34" s="27"/>
      <c r="B34" s="28"/>
      <c r="C34" s="29"/>
      <c r="D34" s="29"/>
      <c r="E34" s="29"/>
      <c r="F34" s="29"/>
      <c r="G34" s="29"/>
      <c r="H34" s="30"/>
    </row>
    <row r="35" spans="1:8" ht="6" customHeight="1" thickBot="1">
      <c r="A35" s="23"/>
      <c r="B35" s="24"/>
      <c r="C35" s="25"/>
      <c r="D35" s="25"/>
      <c r="E35" s="25"/>
      <c r="F35" s="25"/>
      <c r="G35" s="25"/>
      <c r="H35" s="26"/>
    </row>
    <row r="36" spans="1:8" ht="13.5" thickBot="1">
      <c r="A36" s="23" t="s">
        <v>75</v>
      </c>
      <c r="B36" s="42">
        <v>65</v>
      </c>
      <c r="C36" s="25" t="s">
        <v>73</v>
      </c>
      <c r="D36" s="25"/>
      <c r="E36" s="25"/>
      <c r="F36" s="25"/>
      <c r="G36" s="25"/>
      <c r="H36" s="26"/>
    </row>
    <row r="37" spans="1:8" ht="6" customHeight="1">
      <c r="A37" s="23"/>
      <c r="B37" s="24"/>
      <c r="C37" s="25"/>
      <c r="D37" s="25"/>
      <c r="E37" s="25"/>
      <c r="F37" s="25"/>
      <c r="G37" s="25"/>
      <c r="H37" s="26"/>
    </row>
    <row r="38" spans="1:8" ht="6" customHeight="1">
      <c r="A38" s="27"/>
      <c r="B38" s="28"/>
      <c r="C38" s="29"/>
      <c r="D38" s="29"/>
      <c r="E38" s="29"/>
      <c r="F38" s="29"/>
      <c r="G38" s="29"/>
      <c r="H38" s="30"/>
    </row>
    <row r="39" spans="1:8" ht="6" customHeight="1" thickBot="1">
      <c r="A39" s="23"/>
      <c r="B39" s="24"/>
      <c r="C39" s="25"/>
      <c r="D39" s="25"/>
      <c r="E39" s="25"/>
      <c r="F39" s="25"/>
      <c r="G39" s="25"/>
      <c r="H39" s="26"/>
    </row>
    <row r="40" spans="1:8" ht="13.5" thickBot="1">
      <c r="A40" s="23" t="s">
        <v>78</v>
      </c>
      <c r="B40" s="42" t="s">
        <v>247</v>
      </c>
      <c r="C40" s="25"/>
      <c r="D40" s="25"/>
      <c r="E40" s="25"/>
      <c r="F40" s="25"/>
      <c r="G40" s="25"/>
      <c r="H40" s="26"/>
    </row>
    <row r="41" spans="1:8" ht="6" customHeight="1">
      <c r="A41" s="23"/>
      <c r="B41" s="24"/>
      <c r="C41" s="25"/>
      <c r="D41" s="25"/>
      <c r="E41" s="25"/>
      <c r="F41" s="25"/>
      <c r="G41" s="25"/>
      <c r="H41" s="26"/>
    </row>
    <row r="42" spans="1:8" ht="6" customHeight="1">
      <c r="A42" s="27"/>
      <c r="B42" s="28"/>
      <c r="C42" s="29"/>
      <c r="D42" s="29"/>
      <c r="E42" s="29"/>
      <c r="F42" s="29"/>
      <c r="G42" s="29"/>
      <c r="H42" s="30"/>
    </row>
    <row r="43" spans="1:8" ht="6.75" customHeight="1" thickBot="1">
      <c r="A43" s="23"/>
      <c r="B43" s="24"/>
      <c r="C43" s="25"/>
      <c r="D43" s="25"/>
      <c r="E43" s="25"/>
      <c r="F43" s="25"/>
      <c r="G43" s="25"/>
      <c r="H43" s="26"/>
    </row>
    <row r="44" spans="1:8" ht="13.5" thickBot="1">
      <c r="A44" s="23" t="s">
        <v>76</v>
      </c>
      <c r="B44" s="42">
        <v>45</v>
      </c>
      <c r="C44" s="25"/>
      <c r="D44" s="25"/>
      <c r="E44" s="25"/>
      <c r="F44" s="25"/>
      <c r="G44" s="25"/>
      <c r="H44" s="26"/>
    </row>
    <row r="45" spans="1:8" ht="6" customHeight="1">
      <c r="A45" s="23"/>
      <c r="B45" s="25"/>
      <c r="C45" s="25"/>
      <c r="D45" s="25"/>
      <c r="E45" s="25"/>
      <c r="F45" s="25"/>
      <c r="G45" s="25"/>
      <c r="H45" s="26"/>
    </row>
    <row r="46" spans="1:8" ht="6" customHeight="1" thickBot="1">
      <c r="A46" s="45"/>
      <c r="B46" s="46"/>
      <c r="C46" s="47"/>
      <c r="D46" s="47"/>
      <c r="E46" s="47"/>
      <c r="F46" s="47"/>
      <c r="G46" s="47"/>
      <c r="H46" s="48"/>
    </row>
    <row r="47" spans="1:8" ht="21" customHeight="1">
      <c r="A47" s="404" t="s">
        <v>74</v>
      </c>
      <c r="B47" s="405"/>
      <c r="C47" s="405"/>
      <c r="D47" s="405"/>
      <c r="E47" s="405"/>
      <c r="F47" s="405"/>
      <c r="G47" s="405"/>
      <c r="H47" s="405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 s="146"/>
      <c r="B50" s="121"/>
      <c r="C50" s="121"/>
      <c r="D50" s="121"/>
      <c r="E50" s="121"/>
      <c r="F50" s="121"/>
      <c r="G50" s="121"/>
      <c r="H50" s="121"/>
    </row>
    <row r="51" spans="1:8">
      <c r="A51" s="146"/>
      <c r="B51" s="121"/>
      <c r="C51" s="121"/>
      <c r="D51" s="121"/>
      <c r="E51" s="121"/>
      <c r="F51" s="121"/>
      <c r="G51" s="121"/>
      <c r="H51" s="121"/>
    </row>
    <row r="52" spans="1:8" hidden="1">
      <c r="A52" s="146"/>
      <c r="B52" s="121" t="s">
        <v>96</v>
      </c>
      <c r="C52" s="121"/>
      <c r="D52" s="121"/>
      <c r="E52" s="121"/>
      <c r="F52" s="121" t="s">
        <v>99</v>
      </c>
      <c r="G52" s="121"/>
      <c r="H52" s="121"/>
    </row>
    <row r="53" spans="1:8" hidden="1">
      <c r="A53" s="146"/>
      <c r="B53" s="121" t="s">
        <v>97</v>
      </c>
      <c r="C53" s="121"/>
      <c r="D53" s="121"/>
      <c r="E53" s="121"/>
      <c r="F53" s="121" t="s">
        <v>100</v>
      </c>
      <c r="G53" s="121"/>
      <c r="H53" s="121"/>
    </row>
    <row r="54" spans="1:8" hidden="1">
      <c r="A54" s="146"/>
      <c r="B54" s="121" t="s">
        <v>98</v>
      </c>
      <c r="C54" s="121"/>
      <c r="D54" s="121"/>
      <c r="E54" s="121"/>
      <c r="F54" s="121" t="s">
        <v>101</v>
      </c>
      <c r="G54" s="121"/>
      <c r="H54" s="121"/>
    </row>
    <row r="55" spans="1:8" hidden="1">
      <c r="A55" s="146"/>
      <c r="B55" s="121" t="s">
        <v>40</v>
      </c>
      <c r="C55" s="121"/>
      <c r="D55" s="121"/>
      <c r="E55" s="121"/>
      <c r="F55" s="121" t="s">
        <v>102</v>
      </c>
      <c r="G55" s="121"/>
      <c r="H55" s="121"/>
    </row>
    <row r="56" spans="1:8" hidden="1">
      <c r="A56" s="146"/>
      <c r="B56" s="121" t="s">
        <v>44</v>
      </c>
      <c r="C56" s="121"/>
      <c r="D56" s="121"/>
      <c r="E56" s="121"/>
      <c r="F56" s="121" t="s">
        <v>103</v>
      </c>
      <c r="G56" s="121"/>
      <c r="H56" s="121"/>
    </row>
    <row r="57" spans="1:8" hidden="1">
      <c r="A57" s="146"/>
      <c r="B57" s="121" t="s">
        <v>49</v>
      </c>
      <c r="C57" s="121"/>
      <c r="D57" s="121"/>
      <c r="E57" s="121"/>
      <c r="F57" s="121" t="s">
        <v>104</v>
      </c>
      <c r="G57" s="121"/>
      <c r="H57" s="121"/>
    </row>
    <row r="58" spans="1:8" hidden="1">
      <c r="A58" s="146"/>
      <c r="B58" s="121" t="s">
        <v>54</v>
      </c>
      <c r="C58" s="121"/>
      <c r="D58" s="121"/>
      <c r="E58" s="121"/>
      <c r="F58" s="121" t="s">
        <v>105</v>
      </c>
      <c r="G58" s="121"/>
      <c r="H58" s="121"/>
    </row>
    <row r="59" spans="1:8" hidden="1">
      <c r="A59" s="146"/>
      <c r="B59" s="121"/>
      <c r="C59" s="121"/>
      <c r="D59" s="121"/>
      <c r="E59" s="121"/>
      <c r="F59" s="121" t="s">
        <v>106</v>
      </c>
      <c r="G59" s="121"/>
      <c r="H59" s="121"/>
    </row>
    <row r="60" spans="1:8" hidden="1">
      <c r="A60" s="146"/>
      <c r="B60" s="121"/>
      <c r="C60" s="121"/>
      <c r="D60" s="121"/>
      <c r="E60" s="121"/>
      <c r="F60" s="121" t="s">
        <v>107</v>
      </c>
      <c r="G60" s="121"/>
      <c r="H60" s="121"/>
    </row>
    <row r="61" spans="1:8" hidden="1">
      <c r="A61" s="146"/>
      <c r="B61" s="121"/>
      <c r="C61" s="121"/>
      <c r="D61" s="121"/>
      <c r="E61" s="121"/>
      <c r="F61" s="121" t="s">
        <v>108</v>
      </c>
      <c r="G61" s="121"/>
      <c r="H61" s="121"/>
    </row>
    <row r="62" spans="1:8" hidden="1">
      <c r="A62" s="146"/>
      <c r="B62" s="121"/>
      <c r="C62" s="121"/>
      <c r="D62" s="121"/>
      <c r="E62" s="121"/>
      <c r="F62" s="121" t="s">
        <v>109</v>
      </c>
      <c r="G62" s="121"/>
      <c r="H62" s="121"/>
    </row>
    <row r="63" spans="1:8" hidden="1">
      <c r="A63" s="146"/>
      <c r="B63" s="121"/>
      <c r="C63" s="121"/>
      <c r="D63" s="121"/>
      <c r="E63" s="121"/>
      <c r="F63" s="121" t="s">
        <v>110</v>
      </c>
      <c r="G63" s="121"/>
      <c r="H63" s="121"/>
    </row>
    <row r="64" spans="1:8" hidden="1">
      <c r="A64" s="146"/>
      <c r="B64" s="121"/>
      <c r="C64" s="121"/>
      <c r="D64" s="121"/>
      <c r="E64" s="121"/>
      <c r="F64" s="121" t="s">
        <v>111</v>
      </c>
      <c r="G64" s="121"/>
      <c r="H64" s="121"/>
    </row>
    <row r="65" spans="1:8" hidden="1">
      <c r="A65" s="146"/>
      <c r="B65" s="121"/>
      <c r="C65" s="121"/>
      <c r="D65" s="121"/>
      <c r="E65" s="121"/>
      <c r="F65" s="121" t="s">
        <v>112</v>
      </c>
      <c r="G65" s="121"/>
      <c r="H65" s="121"/>
    </row>
    <row r="66" spans="1:8">
      <c r="A66" s="146"/>
      <c r="B66" s="121"/>
      <c r="C66" s="121"/>
      <c r="D66" s="121"/>
      <c r="E66" s="121"/>
      <c r="F66" s="121"/>
      <c r="G66" s="121"/>
      <c r="H66" s="121"/>
    </row>
    <row r="67" spans="1:8">
      <c r="A67" s="146"/>
      <c r="B67" s="121"/>
      <c r="C67" s="121"/>
      <c r="D67" s="121"/>
      <c r="E67" s="121"/>
      <c r="F67" s="121"/>
      <c r="G67" s="121"/>
      <c r="H67" s="121"/>
    </row>
    <row r="68" spans="1:8">
      <c r="A68" s="146"/>
      <c r="B68" s="121"/>
      <c r="C68" s="121"/>
      <c r="D68" s="121"/>
      <c r="E68" s="121"/>
      <c r="F68" s="121"/>
      <c r="G68" s="121"/>
      <c r="H68" s="121"/>
    </row>
    <row r="69" spans="1:8">
      <c r="A69" s="146"/>
      <c r="B69" s="121"/>
      <c r="C69" s="121"/>
      <c r="D69" s="121"/>
      <c r="E69" s="121"/>
      <c r="F69" s="121"/>
      <c r="G69" s="121"/>
      <c r="H69" s="121"/>
    </row>
    <row r="70" spans="1:8">
      <c r="A70" s="146"/>
      <c r="B70" s="121"/>
      <c r="C70" s="121"/>
      <c r="D70" s="121"/>
      <c r="E70" s="121"/>
      <c r="F70" s="121"/>
      <c r="G70" s="121"/>
      <c r="H70" s="121"/>
    </row>
    <row r="71" spans="1:8">
      <c r="A71" s="146"/>
      <c r="B71" s="121"/>
      <c r="C71" s="121"/>
      <c r="D71" s="121"/>
      <c r="E71" s="121"/>
      <c r="F71" s="121"/>
      <c r="G71" s="121"/>
      <c r="H71" s="121"/>
    </row>
    <row r="72" spans="1:8">
      <c r="A72" s="146"/>
      <c r="B72" s="121"/>
      <c r="C72" s="121"/>
      <c r="D72" s="121"/>
      <c r="E72" s="121"/>
      <c r="F72" s="121"/>
      <c r="G72" s="121"/>
      <c r="H72" s="121"/>
    </row>
    <row r="73" spans="1:8">
      <c r="A73" s="146"/>
      <c r="B73" s="121"/>
      <c r="C73" s="121"/>
      <c r="D73" s="121"/>
      <c r="E73" s="121"/>
      <c r="F73" s="121"/>
      <c r="G73" s="121"/>
      <c r="H73" s="121"/>
    </row>
    <row r="74" spans="1:8">
      <c r="A74" s="146"/>
      <c r="B74" s="121"/>
      <c r="C74" s="121"/>
      <c r="D74" s="121"/>
      <c r="E74" s="121"/>
      <c r="F74" s="121"/>
      <c r="G74" s="121"/>
      <c r="H74" s="121"/>
    </row>
    <row r="75" spans="1:8">
      <c r="A75" s="146"/>
      <c r="B75" s="121"/>
      <c r="C75" s="121"/>
      <c r="D75" s="121"/>
      <c r="E75" s="121"/>
      <c r="F75" s="121"/>
      <c r="G75" s="121"/>
      <c r="H75" s="121"/>
    </row>
    <row r="76" spans="1:8">
      <c r="A76" s="146"/>
      <c r="B76" s="121"/>
      <c r="C76" s="121"/>
      <c r="D76" s="121"/>
      <c r="E76" s="121"/>
      <c r="F76" s="121"/>
      <c r="G76" s="121"/>
      <c r="H76" s="121"/>
    </row>
    <row r="77" spans="1:8">
      <c r="A77" s="146"/>
      <c r="B77" s="121"/>
      <c r="C77" s="121"/>
      <c r="D77" s="121"/>
      <c r="E77" s="121"/>
      <c r="F77" s="121"/>
      <c r="G77" s="121"/>
      <c r="H77" s="121"/>
    </row>
    <row r="78" spans="1:8">
      <c r="A78" s="146"/>
      <c r="B78" s="121"/>
      <c r="C78" s="121"/>
      <c r="D78" s="121"/>
      <c r="E78" s="121"/>
      <c r="F78" s="121"/>
      <c r="G78" s="121"/>
      <c r="H78" s="121"/>
    </row>
    <row r="79" spans="1:8">
      <c r="A79" s="146"/>
      <c r="B79" s="121"/>
      <c r="C79" s="121"/>
      <c r="D79" s="121"/>
      <c r="E79" s="121"/>
      <c r="F79" s="121"/>
      <c r="G79" s="121"/>
      <c r="H79" s="121"/>
    </row>
    <row r="80" spans="1:8">
      <c r="A80" s="146"/>
      <c r="B80" s="121"/>
      <c r="C80" s="121"/>
      <c r="D80" s="121"/>
      <c r="E80" s="121"/>
      <c r="F80" s="121"/>
      <c r="G80" s="121"/>
      <c r="H80" s="121"/>
    </row>
    <row r="81" spans="1:8">
      <c r="A81" s="146"/>
      <c r="B81" s="121"/>
      <c r="C81" s="121"/>
      <c r="D81" s="121"/>
      <c r="E81" s="121"/>
      <c r="F81" s="121"/>
      <c r="G81" s="121"/>
      <c r="H81" s="121"/>
    </row>
    <row r="82" spans="1:8">
      <c r="A82" s="146"/>
      <c r="B82" s="121"/>
      <c r="C82" s="121"/>
      <c r="D82" s="121"/>
      <c r="E82" s="121"/>
      <c r="F82" s="121"/>
      <c r="G82" s="121"/>
      <c r="H82" s="121"/>
    </row>
    <row r="83" spans="1:8">
      <c r="A83" s="146"/>
      <c r="B83" s="121"/>
      <c r="C83" s="121"/>
      <c r="D83" s="121"/>
      <c r="E83" s="121"/>
      <c r="F83" s="121"/>
      <c r="G83" s="121"/>
      <c r="H83" s="121"/>
    </row>
    <row r="84" spans="1:8">
      <c r="A84" s="146"/>
      <c r="B84" s="121"/>
      <c r="C84" s="121"/>
      <c r="D84" s="121"/>
      <c r="E84" s="121"/>
      <c r="F84" s="121"/>
      <c r="G84" s="121"/>
      <c r="H84" s="121"/>
    </row>
    <row r="85" spans="1:8">
      <c r="A85" s="146"/>
      <c r="B85" s="121"/>
      <c r="C85" s="121"/>
      <c r="D85" s="121"/>
      <c r="E85" s="121"/>
      <c r="F85" s="121"/>
      <c r="G85" s="121"/>
      <c r="H85" s="121"/>
    </row>
    <row r="86" spans="1:8">
      <c r="A86" s="146"/>
      <c r="B86" s="121"/>
      <c r="C86" s="121"/>
      <c r="D86" s="121"/>
      <c r="E86" s="121"/>
      <c r="F86" s="121"/>
      <c r="G86" s="121"/>
      <c r="H86" s="121"/>
    </row>
    <row r="87" spans="1:8">
      <c r="A87" s="146"/>
      <c r="B87" s="121"/>
      <c r="C87" s="121"/>
      <c r="D87" s="121"/>
      <c r="E87" s="121"/>
      <c r="F87" s="121"/>
      <c r="G87" s="121"/>
      <c r="H87" s="121"/>
    </row>
    <row r="88" spans="1:8">
      <c r="A88" s="146"/>
      <c r="B88" s="121"/>
      <c r="C88" s="121"/>
      <c r="D88" s="121"/>
      <c r="E88" s="121"/>
      <c r="F88" s="121"/>
      <c r="G88" s="121"/>
      <c r="H88" s="121"/>
    </row>
    <row r="89" spans="1:8">
      <c r="A89" s="146"/>
      <c r="B89" s="121"/>
      <c r="C89" s="121"/>
      <c r="D89" s="121"/>
      <c r="E89" s="121"/>
      <c r="F89" s="121"/>
      <c r="G89" s="121"/>
      <c r="H89" s="121"/>
    </row>
    <row r="90" spans="1:8">
      <c r="A90" s="146"/>
      <c r="B90" s="121"/>
      <c r="C90" s="121"/>
      <c r="D90" s="121"/>
      <c r="E90" s="121"/>
      <c r="F90" s="121"/>
      <c r="G90" s="121"/>
      <c r="H90" s="121"/>
    </row>
    <row r="91" spans="1:8">
      <c r="A91" s="146"/>
      <c r="B91" s="121"/>
      <c r="C91" s="121"/>
      <c r="D91" s="121"/>
      <c r="E91" s="121"/>
      <c r="F91" s="121"/>
      <c r="G91" s="121"/>
      <c r="H91" s="121"/>
    </row>
    <row r="92" spans="1:8">
      <c r="A92" s="146"/>
      <c r="B92" s="121"/>
      <c r="C92" s="121"/>
      <c r="D92" s="121"/>
      <c r="E92" s="121"/>
      <c r="F92" s="121"/>
      <c r="G92" s="121"/>
      <c r="H92" s="121"/>
    </row>
    <row r="93" spans="1:8">
      <c r="A93" s="146"/>
      <c r="B93" s="121"/>
      <c r="C93" s="121"/>
      <c r="D93" s="121"/>
      <c r="E93" s="121"/>
      <c r="F93" s="121"/>
      <c r="G93" s="121"/>
      <c r="H93" s="121"/>
    </row>
    <row r="94" spans="1:8">
      <c r="A94" s="146"/>
      <c r="B94" s="121"/>
      <c r="C94" s="121"/>
      <c r="D94" s="121"/>
      <c r="E94" s="121"/>
      <c r="F94" s="121"/>
      <c r="G94" s="121"/>
      <c r="H94" s="121"/>
    </row>
    <row r="95" spans="1:8">
      <c r="A95" s="146"/>
      <c r="B95" s="121"/>
      <c r="C95" s="121"/>
      <c r="D95" s="121"/>
      <c r="E95" s="121"/>
      <c r="F95" s="121"/>
      <c r="G95" s="121"/>
      <c r="H95" s="121"/>
    </row>
  </sheetData>
  <sheetProtection password="C62D" sheet="1" selectLockedCells="1"/>
  <protectedRanges>
    <protectedRange sqref="B11" name="Диапазон1"/>
    <protectedRange sqref="B15" name="Диапазон2"/>
    <protectedRange sqref="B19" name="Диапазон3"/>
    <protectedRange sqref="B23" name="Диапазон4"/>
    <protectedRange sqref="C27" name="Диапазон5"/>
    <protectedRange sqref="B32" name="Диапазон6"/>
    <protectedRange sqref="B36" name="Диапазон7"/>
    <protectedRange sqref="B40" name="Диапазон8"/>
    <protectedRange sqref="B44" name="Диапазон9"/>
  </protectedRanges>
  <customSheetViews>
    <customSheetView guid="{BFE542F4-8A0C-4C42-A5CA-C7B0ACF2717E}" scale="85" hiddenRows="1">
      <selection activeCell="AA6" sqref="AA6"/>
      <pageMargins left="0.35433070866141736" right="0.35433070866141736" top="1.0536458333333334" bottom="0.59055118110236227" header="0.51181102362204722" footer="0.51181102362204722"/>
      <pageSetup paperSize="9" scale="85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6">
    <mergeCell ref="B32:F32"/>
    <mergeCell ref="A47:H47"/>
    <mergeCell ref="C2:D2"/>
    <mergeCell ref="F2:G2"/>
    <mergeCell ref="A5:H5"/>
    <mergeCell ref="B15:F15"/>
  </mergeCells>
  <phoneticPr fontId="0" type="noConversion"/>
  <conditionalFormatting sqref="E2:F2 B11 B15:F15 B23 B32:F32 B19 B40 B44 B36 C27 C2 H2 B7">
    <cfRule type="expression" dxfId="3" priority="1" stopIfTrue="1">
      <formula>ISBLANK(B2)</formula>
    </cfRule>
  </conditionalFormatting>
  <dataValidations xWindow="797" yWindow="613" count="11">
    <dataValidation type="whole" allowBlank="1" showInputMessage="1" showErrorMessage="1" promptTitle="Число учащихся в классе" prompt="Введите количество учащихся в классе" sqref="B23:B24 B20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8">
      <formula1>3</formula1>
      <formula2>6</formula2>
    </dataValidation>
    <dataValidation type="whole" allowBlank="1" showInputMessage="1" showErrorMessage="1" promptTitle="Ваш разряд" prompt="Введите Ваш разряд" sqref="B41 B37">
      <formula1>8</formula1>
      <formula2>14</formula2>
    </dataValidation>
    <dataValidation type="whole" allowBlank="1" showInputMessage="1" showErrorMessage="1" promptTitle="Кол-во уроков матем-ки в неделю" prompt="Введите количество уроков " sqref="C27">
      <formula1>1</formula1>
      <formula2>10</formula2>
    </dataValidation>
    <dataValidation type="list" allowBlank="1" showInputMessage="1" showErrorMessage="1" promptTitle="Ваша категория" prompt="Высшая, Первая, Вторая, Соответствие должности; Не имею" sqref="B40">
      <formula1>"Высшая,Первая,Вторая,Соответствие должности,Не имею"</formula1>
    </dataValidation>
    <dataValidation type="whole" allowBlank="1" showInputMessage="1" showErrorMessage="1" promptTitle="Ваш возраст" prompt="Введите Ваш возраст (число полных лет)" sqref="B36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44"/>
    <dataValidation type="whole" allowBlank="1" showInputMessage="1" showErrorMessage="1" promptTitle="Продолжительность урока" prompt="Введите продолжительность урока в минутах" sqref="B19">
      <formula1>1</formula1>
      <formula2>50</formula2>
    </dataValidation>
    <dataValidation type="list" allowBlank="1" showInputMessage="1" showErrorMessage="1" sqref="B12 B33 B16">
      <formula1>'АНКЕТА УЧИТЕЛЯ'!#REF!</formula1>
    </dataValidation>
    <dataValidation type="list" allowBlank="1" showInputMessage="1" showErrorMessage="1" promptTitle="Тип школы" prompt="Укажите тип школы" sqref="B11">
      <formula1>"начальняя, основная, средняя"</formula1>
    </dataValidation>
    <dataValidation type="list" allowBlank="1" showInputMessage="1" showErrorMessage="1" promptTitle="Вид школы" prompt="Укажите вид школы" sqref="B15:F15">
      <formula1>$B$52:$B$58</formula1>
    </dataValidation>
  </dataValidations>
  <pageMargins left="0.35433070866141736" right="0.35433070866141736" top="1.0536458333333334" bottom="0.59055118110236227" header="0.51181102362204722" footer="0.51181102362204722"/>
  <pageSetup paperSize="9" scale="85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162"/>
  <sheetViews>
    <sheetView topLeftCell="B9" zoomScale="70" zoomScaleNormal="70" zoomScalePageLayoutView="90" workbookViewId="0">
      <selection activeCell="AL65" sqref="Z65:AL66"/>
    </sheetView>
  </sheetViews>
  <sheetFormatPr defaultRowHeight="12.75"/>
  <cols>
    <col min="1" max="1" width="4.42578125" style="1" hidden="1" customWidth="1"/>
    <col min="2" max="2" width="6.85546875" style="1" bestFit="1" customWidth="1"/>
    <col min="3" max="3" width="4.28515625" style="1" bestFit="1" customWidth="1"/>
    <col min="4" max="4" width="29.7109375" style="1" customWidth="1"/>
    <col min="5" max="16" width="5.140625" style="1" customWidth="1"/>
    <col min="17" max="17" width="5.28515625" style="1" customWidth="1"/>
    <col min="18" max="18" width="5.7109375" style="1" customWidth="1"/>
    <col min="19" max="19" width="6.28515625" style="1" customWidth="1"/>
    <col min="20" max="21" width="5.7109375" style="1" customWidth="1"/>
    <col min="22" max="23" width="6.7109375" style="1" customWidth="1"/>
    <col min="24" max="24" width="9.140625" style="1"/>
    <col min="25" max="25" width="12.5703125" style="1" customWidth="1"/>
    <col min="26" max="26" width="19.28515625" style="1" customWidth="1"/>
    <col min="27" max="27" width="9.140625" style="266" hidden="1" customWidth="1"/>
    <col min="28" max="28" width="9.42578125" style="266" hidden="1" customWidth="1"/>
    <col min="29" max="29" width="8.5703125" style="266" hidden="1" customWidth="1"/>
    <col min="30" max="32" width="0" style="266" hidden="1" customWidth="1"/>
    <col min="33" max="36" width="0" style="1" hidden="1" customWidth="1"/>
    <col min="37" max="37" width="9.140625" style="1" hidden="1" customWidth="1"/>
    <col min="38" max="16384" width="9.140625" style="1"/>
  </cols>
  <sheetData>
    <row r="1" spans="1:63" ht="17.2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6"/>
      <c r="W1" s="6"/>
      <c r="X1" s="6"/>
      <c r="Y1" s="6"/>
      <c r="Z1" s="6"/>
      <c r="AA1" s="264"/>
      <c r="AB1" s="264"/>
      <c r="AC1" s="264"/>
      <c r="AD1" s="264"/>
      <c r="AE1" s="264"/>
      <c r="AF1" s="264"/>
      <c r="AG1" s="6"/>
      <c r="AH1" s="6"/>
      <c r="AI1" s="6"/>
      <c r="AJ1" s="6"/>
      <c r="AK1" s="6">
        <f>IF(AK19=0,0,1)</f>
        <v>0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30.75" customHeight="1">
      <c r="B2" s="84"/>
      <c r="C2" s="85"/>
      <c r="D2" s="454"/>
      <c r="E2" s="455"/>
      <c r="F2" s="454" t="s">
        <v>0</v>
      </c>
      <c r="G2" s="454"/>
      <c r="H2" s="449" t="str">
        <f>IF(NOT(ISBLANK('СПИСОК КЛАССА'!H1)),'СПИСОК КЛАССА'!H1,"")</f>
        <v>138074</v>
      </c>
      <c r="I2" s="450"/>
      <c r="J2" s="451"/>
      <c r="K2" s="452" t="s">
        <v>1</v>
      </c>
      <c r="L2" s="452"/>
      <c r="M2" s="453"/>
      <c r="N2" s="449" t="str">
        <f>IF(NOT(ISBLANK('СПИСОК КЛАССА'!J1)),'СПИСОК КЛАССА'!J1,"")</f>
        <v>0502</v>
      </c>
      <c r="O2" s="451"/>
      <c r="Q2" s="88"/>
      <c r="R2" s="88"/>
      <c r="S2" s="88"/>
      <c r="T2" s="88"/>
      <c r="U2" s="88"/>
      <c r="V2" s="6"/>
      <c r="W2" s="6"/>
      <c r="X2" s="6"/>
      <c r="Y2" s="6"/>
      <c r="Z2" s="6"/>
      <c r="AA2" s="264"/>
      <c r="AB2" s="264"/>
      <c r="AC2" s="264"/>
      <c r="AD2" s="264"/>
      <c r="AE2" s="264"/>
      <c r="AF2" s="264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>
      <c r="B3" s="84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6"/>
      <c r="W3" s="6"/>
      <c r="X3" s="6"/>
      <c r="Y3" s="6"/>
      <c r="Z3" s="6"/>
      <c r="AA3" s="264"/>
      <c r="AB3" s="264"/>
      <c r="AC3" s="264"/>
      <c r="AD3" s="264"/>
      <c r="AE3" s="264"/>
      <c r="AF3" s="264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3" customFormat="1" ht="23.25" customHeight="1">
      <c r="B4" s="89"/>
      <c r="C4" s="429" t="s">
        <v>142</v>
      </c>
      <c r="D4" s="429"/>
      <c r="E4" s="429"/>
      <c r="F4" s="429"/>
      <c r="G4" s="448" t="str">
        <f>IF(NOT(ISBLANK('СПИСОК КЛАССА'!E3)),'СПИСОК КЛАССА'!E3,"")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262"/>
      <c r="U4" s="262"/>
      <c r="V4" s="7"/>
      <c r="W4" s="7"/>
      <c r="X4" s="7"/>
      <c r="Y4" s="7"/>
      <c r="Z4" s="7"/>
      <c r="AA4" s="265"/>
      <c r="AB4" s="265"/>
      <c r="AC4" s="265"/>
      <c r="AD4" s="265"/>
      <c r="AE4" s="265"/>
      <c r="AF4" s="265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>
      <c r="B5" s="84"/>
      <c r="C5" s="91"/>
      <c r="D5" s="89"/>
      <c r="E5" s="84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6"/>
      <c r="W5" s="6"/>
      <c r="X5" s="6"/>
      <c r="Y5" s="6"/>
      <c r="Z5" s="6"/>
      <c r="AA5" s="264"/>
      <c r="AB5" s="264"/>
      <c r="AC5" s="264"/>
      <c r="AD5" s="264"/>
      <c r="AE5" s="264"/>
      <c r="AF5" s="264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7.25" customHeight="1" thickBot="1">
      <c r="B6" s="84"/>
      <c r="C6" s="84"/>
      <c r="D6" s="92" t="s">
        <v>141</v>
      </c>
      <c r="E6" s="93">
        <f>COUNTIF('СПИСОК КЛАССА'!J20:'СПИСОК КЛАССА'!J63,0)+COUNTIF('СПИСОК КЛАССА'!J20:'СПИСОК КЛАССА'!J63,1)+COUNTIF('СПИСОК КЛАССА'!J20:'СПИСОК КЛАССА'!J63,2)+COUNTIF('СПИСОК КЛАССА'!J20:'СПИСОК КЛАССА'!J63,3)+COUNTIF('СПИСОК КЛАССА'!J20:'СПИСОК КЛАССА'!J63,4)</f>
        <v>27</v>
      </c>
      <c r="G6" s="84"/>
      <c r="H6" s="84"/>
      <c r="I6" s="92" t="s">
        <v>12</v>
      </c>
      <c r="J6" s="445" t="s">
        <v>211</v>
      </c>
      <c r="K6" s="445"/>
      <c r="L6" s="445"/>
      <c r="M6" s="445"/>
      <c r="N6" s="103"/>
      <c r="O6" s="88"/>
      <c r="P6" s="103"/>
      <c r="Q6" s="88"/>
      <c r="R6" s="88"/>
      <c r="S6" s="88"/>
      <c r="T6" s="88"/>
      <c r="U6" s="88"/>
      <c r="V6" s="6"/>
      <c r="W6" s="6"/>
      <c r="X6" s="6"/>
      <c r="Y6" s="6"/>
      <c r="Z6" s="6"/>
      <c r="AA6" s="264"/>
      <c r="AB6" s="264"/>
      <c r="AC6" s="264"/>
      <c r="AD6" s="264"/>
      <c r="AE6" s="264"/>
      <c r="AF6" s="26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8.75" customHeight="1" thickBot="1">
      <c r="B7" s="84"/>
      <c r="C7" s="96"/>
      <c r="D7" s="92" t="s">
        <v>128</v>
      </c>
      <c r="E7" s="93">
        <f>COUNTIF('СПИСОК КЛАССА'!J20:'СПИСОК КЛАССА'!J63,1)+COUNTIF('СПИСОК КЛАССА'!J20:'СПИСОК КЛАССА'!J63,2)+COUNTIF('СПИСОК КЛАССА'!J20:'СПИСОК КЛАССА'!J63,3)+COUNTIF('СПИСОК КЛАССА'!J20:'СПИСОК КЛАССА'!J63,4)</f>
        <v>24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6"/>
      <c r="W7" s="6"/>
      <c r="X7" s="6"/>
      <c r="Y7" s="6"/>
      <c r="Z7" s="6"/>
      <c r="AA7" s="264"/>
      <c r="AB7" s="264"/>
      <c r="AC7" s="264"/>
      <c r="AD7" s="264"/>
      <c r="AE7" s="264"/>
      <c r="AF7" s="264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6" customHeight="1">
      <c r="B8" s="84"/>
      <c r="C8" s="96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6"/>
      <c r="W8" s="6"/>
      <c r="X8" s="6"/>
      <c r="Y8" s="6"/>
      <c r="Z8" s="6"/>
      <c r="AA8" s="264"/>
      <c r="AB8" s="264"/>
      <c r="AC8" s="264"/>
      <c r="AD8" s="264"/>
      <c r="AE8" s="264"/>
      <c r="AF8" s="264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8.75" customHeight="1" thickBot="1">
      <c r="B9" s="428" t="s">
        <v>176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6"/>
      <c r="Y9" s="6"/>
      <c r="Z9" s="6"/>
      <c r="AA9" s="264"/>
      <c r="AB9" s="264"/>
      <c r="AC9" s="264"/>
      <c r="AD9" s="264"/>
      <c r="AE9" s="264"/>
      <c r="AF9" s="26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5.75" customHeight="1">
      <c r="A10" s="10"/>
      <c r="B10" s="430" t="s">
        <v>2</v>
      </c>
      <c r="C10" s="433" t="s">
        <v>14</v>
      </c>
      <c r="D10" s="436" t="s">
        <v>3</v>
      </c>
      <c r="E10" s="439" t="s">
        <v>144</v>
      </c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1"/>
      <c r="X10" s="6"/>
      <c r="Y10" s="6"/>
      <c r="Z10" s="6"/>
      <c r="AA10" s="264"/>
      <c r="AB10" s="264"/>
      <c r="AC10" s="264"/>
      <c r="AD10" s="264"/>
      <c r="AE10" s="264"/>
      <c r="AF10" s="264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63" ht="76.5" customHeight="1" thickBot="1">
      <c r="A11" s="11"/>
      <c r="B11" s="431"/>
      <c r="C11" s="434"/>
      <c r="D11" s="437"/>
      <c r="E11" s="442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4"/>
      <c r="X11" s="6"/>
      <c r="Y11" s="6"/>
      <c r="Z11" s="6"/>
      <c r="AA11" s="264"/>
      <c r="AB11" s="264"/>
      <c r="AC11" s="264"/>
      <c r="AD11" s="264"/>
      <c r="AE11" s="264"/>
      <c r="AF11" s="264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63" ht="24.75" customHeight="1" thickBot="1">
      <c r="A12" s="367"/>
      <c r="B12" s="432"/>
      <c r="C12" s="435"/>
      <c r="D12" s="438"/>
      <c r="E12" s="366">
        <v>1</v>
      </c>
      <c r="F12" s="133">
        <v>2</v>
      </c>
      <c r="G12" s="133">
        <v>3</v>
      </c>
      <c r="H12" s="133">
        <v>4</v>
      </c>
      <c r="I12" s="133">
        <v>5</v>
      </c>
      <c r="J12" s="133">
        <v>6</v>
      </c>
      <c r="K12" s="133">
        <v>7</v>
      </c>
      <c r="L12" s="133">
        <v>8</v>
      </c>
      <c r="M12" s="133">
        <v>9</v>
      </c>
      <c r="N12" s="133">
        <v>10</v>
      </c>
      <c r="O12" s="133">
        <v>11</v>
      </c>
      <c r="P12" s="133">
        <v>12</v>
      </c>
      <c r="Q12" s="133">
        <v>13</v>
      </c>
      <c r="R12" s="133">
        <v>14</v>
      </c>
      <c r="S12" s="133">
        <v>15</v>
      </c>
      <c r="T12" s="446">
        <v>16</v>
      </c>
      <c r="U12" s="447"/>
      <c r="V12" s="328">
        <v>17</v>
      </c>
      <c r="W12" s="271">
        <v>18</v>
      </c>
      <c r="X12" s="6"/>
      <c r="Z12" s="6"/>
      <c r="AA12" s="264"/>
      <c r="AB12" s="264"/>
      <c r="AC12" s="264"/>
      <c r="AD12" s="264"/>
      <c r="AE12" s="264"/>
      <c r="AF12" s="264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63" ht="24.75" hidden="1" customHeight="1">
      <c r="A13" s="11"/>
      <c r="B13" s="224"/>
      <c r="C13" s="237"/>
      <c r="D13" s="238"/>
      <c r="E13" s="315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5"/>
      <c r="U13" s="316"/>
      <c r="V13" s="315"/>
      <c r="W13" s="317"/>
      <c r="X13" s="6"/>
      <c r="Y13" s="134"/>
      <c r="Z13" s="6"/>
      <c r="AA13" s="264"/>
      <c r="AB13" s="264"/>
      <c r="AC13" s="264"/>
      <c r="AD13" s="264"/>
      <c r="AE13" s="264"/>
      <c r="AF13" s="264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63" ht="24.75" hidden="1" customHeight="1">
      <c r="A14" s="11"/>
      <c r="B14" s="224"/>
      <c r="C14" s="237"/>
      <c r="D14" s="238"/>
      <c r="E14" s="267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67"/>
      <c r="U14" s="239"/>
      <c r="V14" s="267"/>
      <c r="W14" s="272"/>
      <c r="X14" s="6"/>
      <c r="Y14" s="134"/>
      <c r="Z14" s="6"/>
      <c r="AA14" s="264"/>
      <c r="AB14" s="264"/>
      <c r="AC14" s="264"/>
      <c r="AD14" s="264"/>
      <c r="AE14" s="264"/>
      <c r="AF14" s="264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63" ht="24.75" hidden="1" customHeight="1">
      <c r="A15" s="11"/>
      <c r="B15" s="224"/>
      <c r="C15" s="237"/>
      <c r="D15" s="238"/>
      <c r="E15" s="267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67"/>
      <c r="U15" s="239"/>
      <c r="V15" s="267"/>
      <c r="W15" s="272"/>
      <c r="X15" s="6"/>
      <c r="Y15" s="134"/>
      <c r="Z15" s="6"/>
      <c r="AA15" s="264"/>
      <c r="AB15" s="264"/>
      <c r="AC15" s="264"/>
      <c r="AD15" s="264"/>
      <c r="AE15" s="264"/>
      <c r="AF15" s="264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63" ht="24.75" hidden="1" customHeight="1">
      <c r="A16" s="11"/>
      <c r="B16" s="224"/>
      <c r="C16" s="237"/>
      <c r="D16" s="238"/>
      <c r="E16" s="267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67"/>
      <c r="U16" s="239"/>
      <c r="V16" s="267"/>
      <c r="W16" s="272"/>
      <c r="X16" s="6"/>
      <c r="Y16" s="134"/>
      <c r="Z16" s="6"/>
      <c r="AA16" s="264"/>
      <c r="AB16" s="264"/>
      <c r="AC16" s="264"/>
      <c r="AD16" s="264"/>
      <c r="AE16" s="264"/>
      <c r="AF16" s="26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24.75" hidden="1" customHeight="1">
      <c r="A17" s="11"/>
      <c r="B17" s="224"/>
      <c r="C17" s="237"/>
      <c r="D17" s="238"/>
      <c r="E17" s="267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67"/>
      <c r="U17" s="239"/>
      <c r="V17" s="267"/>
      <c r="W17" s="272"/>
      <c r="X17" s="6"/>
      <c r="Y17" s="134"/>
      <c r="Z17" s="6"/>
      <c r="AA17" s="264"/>
      <c r="AB17" s="264"/>
      <c r="AC17" s="264"/>
      <c r="AD17" s="264"/>
      <c r="AE17" s="264"/>
      <c r="AF17" s="26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24.75" hidden="1" customHeight="1">
      <c r="A18" s="11"/>
      <c r="B18" s="224"/>
      <c r="C18" s="237"/>
      <c r="D18" s="238"/>
      <c r="E18" s="267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67"/>
      <c r="U18" s="239"/>
      <c r="V18" s="267"/>
      <c r="W18" s="272"/>
      <c r="X18" s="6"/>
      <c r="Y18" s="134"/>
      <c r="Z18" s="6"/>
      <c r="AA18" s="264"/>
      <c r="AB18" s="264"/>
      <c r="AC18" s="264"/>
      <c r="AD18" s="264"/>
      <c r="AE18" s="264"/>
      <c r="AF18" s="26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24.75" hidden="1" customHeight="1" thickBot="1">
      <c r="A19" s="11"/>
      <c r="B19" s="224"/>
      <c r="C19" s="237"/>
      <c r="D19" s="238"/>
      <c r="E19" s="318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8"/>
      <c r="U19" s="319"/>
      <c r="V19" s="318"/>
      <c r="W19" s="320"/>
      <c r="X19" s="6"/>
      <c r="Y19" s="134"/>
      <c r="Z19" s="6"/>
      <c r="AA19" s="270">
        <v>19</v>
      </c>
      <c r="AB19" s="270">
        <v>24</v>
      </c>
      <c r="AC19" s="270">
        <v>28</v>
      </c>
      <c r="AD19" s="270">
        <v>29</v>
      </c>
      <c r="AE19" s="264"/>
      <c r="AF19" s="264"/>
      <c r="AG19" s="6"/>
      <c r="AH19" s="6"/>
      <c r="AI19" s="6"/>
      <c r="AJ19" s="6"/>
      <c r="AK19" s="6">
        <f>SUM(AK20:AK59)</f>
        <v>0</v>
      </c>
      <c r="AL19" s="6"/>
      <c r="AM19" s="6"/>
      <c r="AN19" s="6"/>
      <c r="AO19" s="6"/>
      <c r="AP19" s="6"/>
      <c r="AQ19" s="6"/>
    </row>
    <row r="20" spans="1:43" ht="12.75" customHeight="1">
      <c r="A20" s="138">
        <f>IF('СПИСОК КЛАССА'!J20&gt;0,1,0)</f>
        <v>0</v>
      </c>
      <c r="B20" s="225">
        <v>1</v>
      </c>
      <c r="C20" s="227">
        <f>IF(NOT(ISBLANK('СПИСОК КЛАССА'!C20)),'СПИСОК КЛАССА'!C20,"")</f>
        <v>1</v>
      </c>
      <c r="D20" s="131" t="str">
        <f>IF(NOT(ISBLANK('СПИСОК КЛАССА'!D20)),IF($A20=1,'СПИСОК КЛАССА'!D20, "УЧЕНИК НЕ ВЫПОЛНЯЛ РАБОТУ"),"")</f>
        <v/>
      </c>
      <c r="E20" s="313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130"/>
      <c r="U20" s="99"/>
      <c r="V20" s="130"/>
      <c r="W20" s="281"/>
      <c r="X20" s="6"/>
      <c r="Y20" s="134"/>
      <c r="Z20" s="263"/>
      <c r="AA20" s="269" t="e">
        <f>IF(T20&amp;U20&amp;#REF! = "NNN","N",T20&amp;U20&amp;#REF!)</f>
        <v>#REF!</v>
      </c>
      <c r="AB20" s="269" t="e">
        <f>IF(#REF!&amp;#REF!&amp;#REF! = "NNN","N",#REF!&amp;#REF!&amp;#REF!)</f>
        <v>#REF!</v>
      </c>
      <c r="AC20" s="269" t="e">
        <f>IF(#REF!&amp;#REF!&amp;#REF! = "NNN","N",#REF!&amp;#REF!&amp;#REF!)</f>
        <v>#REF!</v>
      </c>
      <c r="AD20" s="269" t="e">
        <f>IF(#REF!&amp;#REF!= "NN","N",#REF!&amp;#REF!)</f>
        <v>#REF!</v>
      </c>
      <c r="AE20" s="268"/>
      <c r="AF20" s="268"/>
      <c r="AG20" s="255"/>
      <c r="AH20" s="6"/>
      <c r="AI20" s="6"/>
      <c r="AJ20" s="6"/>
      <c r="AK20" s="6">
        <f t="shared" ref="AK20:AK59" si="0">IF(AND(OR($C20&lt;&gt;"",$D20&lt;&gt;""),$A20=1,ISBLANK(E20))=TRUE,1,0)</f>
        <v>0</v>
      </c>
      <c r="AL20" s="6"/>
      <c r="AM20" s="6"/>
      <c r="AN20" s="6"/>
      <c r="AO20" s="6"/>
      <c r="AP20" s="6"/>
      <c r="AQ20" s="6"/>
    </row>
    <row r="21" spans="1:43" ht="12.75" customHeight="1">
      <c r="A21" s="12">
        <f>IF('СПИСОК КЛАССА'!J21&gt;0,1,0)</f>
        <v>0</v>
      </c>
      <c r="B21" s="226">
        <v>2</v>
      </c>
      <c r="C21" s="227">
        <f>IF(NOT(ISBLANK('СПИСОК КЛАССА'!C21)),'СПИСОК КЛАССА'!C21,"")</f>
        <v>2</v>
      </c>
      <c r="D21" s="131" t="str">
        <f>IF(NOT(ISBLANK('СПИСОК КЛАССА'!D21)),IF($A21=1,'СПИСОК КЛАССА'!D21, "УЧЕНИК НЕ ВЫПОЛНЯЛ РАБОТУ"),"")</f>
        <v/>
      </c>
      <c r="E21" s="313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130"/>
      <c r="U21" s="99"/>
      <c r="V21" s="130"/>
      <c r="W21" s="281"/>
      <c r="X21" s="6"/>
      <c r="Y21" s="134"/>
      <c r="Z21" s="263"/>
      <c r="AA21" s="269" t="e">
        <f>IF(T21&amp;U21&amp;#REF! = "NNN","N",T21&amp;U21&amp;#REF!)</f>
        <v>#REF!</v>
      </c>
      <c r="AB21" s="269" t="e">
        <f>IF(#REF!&amp;#REF!&amp;#REF! = "NNN","N",#REF!&amp;#REF!&amp;#REF!)</f>
        <v>#REF!</v>
      </c>
      <c r="AC21" s="269" t="e">
        <f>IF(#REF!&amp;#REF!&amp;#REF! = "NNN","N",#REF!&amp;#REF!&amp;#REF!)</f>
        <v>#REF!</v>
      </c>
      <c r="AD21" s="269" t="e">
        <f>IF(#REF!&amp;#REF!= "NN","N",#REF!&amp;#REF!)</f>
        <v>#REF!</v>
      </c>
      <c r="AE21" s="268"/>
      <c r="AF21" s="268"/>
      <c r="AG21" s="255"/>
      <c r="AH21" s="6"/>
      <c r="AI21" s="6"/>
      <c r="AJ21" s="6"/>
      <c r="AK21" s="6">
        <f t="shared" si="0"/>
        <v>0</v>
      </c>
      <c r="AL21" s="6"/>
      <c r="AM21" s="6"/>
      <c r="AN21" s="6"/>
      <c r="AO21" s="6"/>
      <c r="AP21" s="6"/>
      <c r="AQ21" s="6"/>
    </row>
    <row r="22" spans="1:43" ht="12.75" customHeight="1">
      <c r="A22" s="12">
        <f>IF('СПИСОК КЛАССА'!J22&gt;0,1,0)</f>
        <v>1</v>
      </c>
      <c r="B22" s="226">
        <v>3</v>
      </c>
      <c r="C22" s="227">
        <f>IF(NOT(ISBLANK('СПИСОК КЛАССА'!C22)),'СПИСОК КЛАССА'!C22,"")</f>
        <v>3</v>
      </c>
      <c r="D22" s="131" t="str">
        <f>IF(NOT(ISBLANK('СПИСОК КЛАССА'!D22)),IF($A22=1,'СПИСОК КЛАССА'!D22, "УЧЕНИК НЕ ВЫПОЛНЯЛ РАБОТУ"),"")</f>
        <v/>
      </c>
      <c r="E22" s="313">
        <v>4</v>
      </c>
      <c r="F22" s="314">
        <v>2</v>
      </c>
      <c r="G22" s="314">
        <v>4</v>
      </c>
      <c r="H22" s="314">
        <v>3</v>
      </c>
      <c r="I22" s="314">
        <v>3</v>
      </c>
      <c r="J22" s="314">
        <v>2</v>
      </c>
      <c r="K22" s="314">
        <v>4</v>
      </c>
      <c r="L22" s="314">
        <v>4</v>
      </c>
      <c r="M22" s="314">
        <v>1</v>
      </c>
      <c r="N22" s="314">
        <v>3</v>
      </c>
      <c r="O22" s="314">
        <v>4</v>
      </c>
      <c r="P22" s="314">
        <v>3</v>
      </c>
      <c r="Q22" s="314">
        <v>3</v>
      </c>
      <c r="R22" s="314">
        <v>1</v>
      </c>
      <c r="S22" s="314">
        <v>2</v>
      </c>
      <c r="T22" s="130">
        <v>778</v>
      </c>
      <c r="U22" s="99" t="s">
        <v>248</v>
      </c>
      <c r="V22" s="130">
        <v>22</v>
      </c>
      <c r="W22" s="281">
        <v>2</v>
      </c>
      <c r="X22" s="6"/>
      <c r="Y22" s="134"/>
      <c r="Z22" s="263"/>
      <c r="AA22" s="269" t="e">
        <f>IF(T22&amp;U22&amp;#REF! = "NNN","N",T22&amp;U22&amp;#REF!)</f>
        <v>#REF!</v>
      </c>
      <c r="AB22" s="269" t="e">
        <f>IF(#REF!&amp;#REF!&amp;#REF! = "NNN","N",#REF!&amp;#REF!&amp;#REF!)</f>
        <v>#REF!</v>
      </c>
      <c r="AC22" s="269" t="e">
        <f>IF(#REF!&amp;#REF!&amp;#REF! = "NNN","N",#REF!&amp;#REF!&amp;#REF!)</f>
        <v>#REF!</v>
      </c>
      <c r="AD22" s="269" t="e">
        <f>IF(#REF!&amp;#REF!= "NN","N",#REF!&amp;#REF!)</f>
        <v>#REF!</v>
      </c>
      <c r="AE22" s="268"/>
      <c r="AF22" s="268"/>
      <c r="AG22" s="255"/>
      <c r="AH22" s="6"/>
      <c r="AI22" s="6"/>
      <c r="AJ22" s="6"/>
      <c r="AK22" s="6">
        <f t="shared" si="0"/>
        <v>0</v>
      </c>
      <c r="AL22" s="6"/>
      <c r="AM22" s="6"/>
      <c r="AN22" s="6"/>
      <c r="AO22" s="6"/>
      <c r="AP22" s="6"/>
      <c r="AQ22" s="6"/>
    </row>
    <row r="23" spans="1:43" ht="12.75" customHeight="1">
      <c r="A23" s="12">
        <f>IF('СПИСОК КЛАССА'!J23&gt;0,1,0)</f>
        <v>1</v>
      </c>
      <c r="B23" s="226">
        <v>4</v>
      </c>
      <c r="C23" s="227">
        <f>IF(NOT(ISBLANK('СПИСОК КЛАССА'!C23)),'СПИСОК КЛАССА'!C23,"")</f>
        <v>4</v>
      </c>
      <c r="D23" s="131" t="str">
        <f>IF(NOT(ISBLANK('СПИСОК КЛАССА'!D23)),IF($A23=1,'СПИСОК КЛАССА'!D23, "УЧЕНИК НЕ ВЫПОЛНЯЛ РАБОТУ"),"")</f>
        <v/>
      </c>
      <c r="E23" s="313">
        <v>2</v>
      </c>
      <c r="F23" s="314">
        <v>3</v>
      </c>
      <c r="G23" s="314">
        <v>4</v>
      </c>
      <c r="H23" s="314">
        <v>4</v>
      </c>
      <c r="I23" s="314">
        <v>1</v>
      </c>
      <c r="J23" s="314">
        <v>4</v>
      </c>
      <c r="K23" s="314">
        <v>2</v>
      </c>
      <c r="L23" s="314">
        <v>4</v>
      </c>
      <c r="M23" s="314">
        <v>1</v>
      </c>
      <c r="N23" s="314">
        <v>2</v>
      </c>
      <c r="O23" s="314">
        <v>2</v>
      </c>
      <c r="P23" s="314">
        <v>3</v>
      </c>
      <c r="Q23" s="314">
        <v>4</v>
      </c>
      <c r="R23" s="314">
        <v>3</v>
      </c>
      <c r="S23" s="314">
        <v>4</v>
      </c>
      <c r="T23" s="130">
        <v>40</v>
      </c>
      <c r="U23" s="99">
        <v>8</v>
      </c>
      <c r="V23" s="130">
        <v>85</v>
      </c>
      <c r="W23" s="281">
        <v>0</v>
      </c>
      <c r="X23" s="6"/>
      <c r="Y23" s="134"/>
      <c r="Z23" s="263"/>
      <c r="AA23" s="269" t="e">
        <f>IF(T23&amp;U23&amp;#REF! = "NNN","N",T23&amp;U23&amp;#REF!)</f>
        <v>#REF!</v>
      </c>
      <c r="AB23" s="269" t="e">
        <f>IF(#REF!&amp;#REF!&amp;#REF! = "NNN","N",#REF!&amp;#REF!&amp;#REF!)</f>
        <v>#REF!</v>
      </c>
      <c r="AC23" s="269" t="e">
        <f>IF(#REF!&amp;#REF!&amp;#REF! = "NNN","N",#REF!&amp;#REF!&amp;#REF!)</f>
        <v>#REF!</v>
      </c>
      <c r="AD23" s="269" t="e">
        <f>IF(#REF!&amp;#REF!= "NN","N",#REF!&amp;#REF!)</f>
        <v>#REF!</v>
      </c>
      <c r="AE23" s="268"/>
      <c r="AF23" s="268"/>
      <c r="AG23" s="255"/>
      <c r="AH23" s="6"/>
      <c r="AI23" s="6"/>
      <c r="AJ23" s="6"/>
      <c r="AK23" s="6">
        <f t="shared" si="0"/>
        <v>0</v>
      </c>
      <c r="AL23" s="6"/>
      <c r="AM23" s="6"/>
      <c r="AN23" s="6"/>
      <c r="AO23" s="6"/>
      <c r="AP23" s="6"/>
      <c r="AQ23" s="6"/>
    </row>
    <row r="24" spans="1:43" ht="12.75" customHeight="1">
      <c r="A24" s="12">
        <f>IF('СПИСОК КЛАССА'!J24&gt;0,1,0)</f>
        <v>1</v>
      </c>
      <c r="B24" s="226">
        <v>5</v>
      </c>
      <c r="C24" s="227">
        <f>IF(NOT(ISBLANK('СПИСОК КЛАССА'!C24)),'СПИСОК КЛАССА'!C24,"")</f>
        <v>5</v>
      </c>
      <c r="D24" s="131" t="str">
        <f>IF(NOT(ISBLANK('СПИСОК КЛАССА'!D24)),IF($A24=1,'СПИСОК КЛАССА'!D24, "УЧЕНИК НЕ ВЫПОЛНЯЛ РАБОТУ"),"")</f>
        <v/>
      </c>
      <c r="E24" s="313">
        <v>2</v>
      </c>
      <c r="F24" s="314">
        <v>2</v>
      </c>
      <c r="G24" s="314">
        <v>1</v>
      </c>
      <c r="H24" s="314">
        <v>3</v>
      </c>
      <c r="I24" s="314">
        <v>3</v>
      </c>
      <c r="J24" s="314">
        <v>2</v>
      </c>
      <c r="K24" s="314">
        <v>2</v>
      </c>
      <c r="L24" s="314">
        <v>3</v>
      </c>
      <c r="M24" s="314">
        <v>3</v>
      </c>
      <c r="N24" s="314">
        <v>3</v>
      </c>
      <c r="O24" s="314">
        <v>2</v>
      </c>
      <c r="P24" s="314">
        <v>3</v>
      </c>
      <c r="Q24" s="314">
        <v>3</v>
      </c>
      <c r="R24" s="314">
        <v>2</v>
      </c>
      <c r="S24" s="314">
        <v>2</v>
      </c>
      <c r="T24" s="130">
        <v>778</v>
      </c>
      <c r="U24" s="99" t="s">
        <v>248</v>
      </c>
      <c r="V24" s="130">
        <v>22</v>
      </c>
      <c r="W24" s="281">
        <v>2</v>
      </c>
      <c r="X24" s="6"/>
      <c r="Y24" s="134"/>
      <c r="Z24" s="263"/>
      <c r="AA24" s="269" t="e">
        <f>IF(T24&amp;U24&amp;#REF! = "NNN","N",T24&amp;U24&amp;#REF!)</f>
        <v>#REF!</v>
      </c>
      <c r="AB24" s="269" t="e">
        <f>IF(#REF!&amp;#REF!&amp;#REF! = "NNN","N",#REF!&amp;#REF!&amp;#REF!)</f>
        <v>#REF!</v>
      </c>
      <c r="AC24" s="269" t="e">
        <f>IF(#REF!&amp;#REF!&amp;#REF! = "NNN","N",#REF!&amp;#REF!&amp;#REF!)</f>
        <v>#REF!</v>
      </c>
      <c r="AD24" s="269" t="e">
        <f>IF(#REF!&amp;#REF!= "NN","N",#REF!&amp;#REF!)</f>
        <v>#REF!</v>
      </c>
      <c r="AE24" s="268"/>
      <c r="AF24" s="268"/>
      <c r="AG24" s="255"/>
      <c r="AH24" s="6"/>
      <c r="AI24" s="6"/>
      <c r="AJ24" s="6"/>
      <c r="AK24" s="6">
        <f t="shared" si="0"/>
        <v>0</v>
      </c>
      <c r="AL24" s="6"/>
      <c r="AM24" s="6"/>
      <c r="AN24" s="6"/>
      <c r="AO24" s="6"/>
      <c r="AP24" s="6"/>
      <c r="AQ24" s="6"/>
    </row>
    <row r="25" spans="1:43" ht="12.75" customHeight="1">
      <c r="A25" s="12">
        <f>IF('СПИСОК КЛАССА'!J25&gt;0,1,0)</f>
        <v>1</v>
      </c>
      <c r="B25" s="226">
        <v>6</v>
      </c>
      <c r="C25" s="227">
        <f>IF(NOT(ISBLANK('СПИСОК КЛАССА'!C25)),'СПИСОК КЛАССА'!C25,"")</f>
        <v>6</v>
      </c>
      <c r="D25" s="131" t="str">
        <f>IF(NOT(ISBLANK('СПИСОК КЛАССА'!D25)),IF($A25=1,'СПИСОК КЛАССА'!D25, "УЧЕНИК НЕ ВЫПОЛНЯЛ РАБОТУ"),"")</f>
        <v/>
      </c>
      <c r="E25" s="313">
        <v>1</v>
      </c>
      <c r="F25" s="314">
        <v>4</v>
      </c>
      <c r="G25" s="314">
        <v>4</v>
      </c>
      <c r="H25" s="314">
        <v>2</v>
      </c>
      <c r="I25" s="314">
        <v>3</v>
      </c>
      <c r="J25" s="314">
        <v>3</v>
      </c>
      <c r="K25" s="314">
        <v>1</v>
      </c>
      <c r="L25" s="314">
        <v>4</v>
      </c>
      <c r="M25" s="314">
        <v>1</v>
      </c>
      <c r="N25" s="314">
        <v>2</v>
      </c>
      <c r="O25" s="314">
        <v>3</v>
      </c>
      <c r="P25" s="314" t="s">
        <v>130</v>
      </c>
      <c r="Q25" s="314">
        <v>4</v>
      </c>
      <c r="R25" s="314" t="s">
        <v>130</v>
      </c>
      <c r="S25" s="314" t="s">
        <v>130</v>
      </c>
      <c r="T25" s="130" t="s">
        <v>130</v>
      </c>
      <c r="U25" s="99" t="s">
        <v>130</v>
      </c>
      <c r="V25" s="130" t="s">
        <v>130</v>
      </c>
      <c r="W25" s="281" t="s">
        <v>130</v>
      </c>
      <c r="X25" s="6"/>
      <c r="Y25" s="135"/>
      <c r="Z25" s="263"/>
      <c r="AA25" s="269" t="e">
        <f>IF(T25&amp;U25&amp;#REF! = "NNN","N",T25&amp;U25&amp;#REF!)</f>
        <v>#REF!</v>
      </c>
      <c r="AB25" s="269" t="e">
        <f>IF(#REF!&amp;#REF!&amp;#REF! = "NNN","N",#REF!&amp;#REF!&amp;#REF!)</f>
        <v>#REF!</v>
      </c>
      <c r="AC25" s="269" t="e">
        <f>IF(#REF!&amp;#REF!&amp;#REF! = "NNN","N",#REF!&amp;#REF!&amp;#REF!)</f>
        <v>#REF!</v>
      </c>
      <c r="AD25" s="269" t="e">
        <f>IF(#REF!&amp;#REF!= "NN","N",#REF!&amp;#REF!)</f>
        <v>#REF!</v>
      </c>
      <c r="AE25" s="268"/>
      <c r="AF25" s="268"/>
      <c r="AG25" s="255"/>
      <c r="AH25" s="6"/>
      <c r="AI25" s="6"/>
      <c r="AJ25" s="6"/>
      <c r="AK25" s="6">
        <f t="shared" si="0"/>
        <v>0</v>
      </c>
      <c r="AL25" s="6"/>
      <c r="AM25" s="6"/>
      <c r="AN25" s="6"/>
      <c r="AO25" s="6"/>
      <c r="AP25" s="6"/>
      <c r="AQ25" s="6"/>
    </row>
    <row r="26" spans="1:43" ht="12.75" customHeight="1">
      <c r="A26" s="12">
        <f>IF('СПИСОК КЛАССА'!J26&gt;0,1,0)</f>
        <v>1</v>
      </c>
      <c r="B26" s="226">
        <v>7</v>
      </c>
      <c r="C26" s="227">
        <f>IF(NOT(ISBLANK('СПИСОК КЛАССА'!C26)),'СПИСОК КЛАССА'!C26,"")</f>
        <v>7</v>
      </c>
      <c r="D26" s="131" t="str">
        <f>IF(NOT(ISBLANK('СПИСОК КЛАССА'!D26)),IF($A26=1,'СПИСОК КЛАССА'!D26, "УЧЕНИК НЕ ВЫПОЛНЯЛ РАБОТУ"),"")</f>
        <v/>
      </c>
      <c r="E26" s="313">
        <v>2</v>
      </c>
      <c r="F26" s="314">
        <v>3</v>
      </c>
      <c r="G26" s="314">
        <v>4</v>
      </c>
      <c r="H26" s="314">
        <v>4</v>
      </c>
      <c r="I26" s="314">
        <v>1</v>
      </c>
      <c r="J26" s="314">
        <v>4</v>
      </c>
      <c r="K26" s="314">
        <v>3</v>
      </c>
      <c r="L26" s="314">
        <v>2</v>
      </c>
      <c r="M26" s="314">
        <v>1</v>
      </c>
      <c r="N26" s="314">
        <v>3</v>
      </c>
      <c r="O26" s="314">
        <v>3</v>
      </c>
      <c r="P26" s="314">
        <v>2</v>
      </c>
      <c r="Q26" s="314">
        <v>4</v>
      </c>
      <c r="R26" s="314">
        <v>1</v>
      </c>
      <c r="S26" s="314">
        <v>3</v>
      </c>
      <c r="T26" s="130">
        <v>40</v>
      </c>
      <c r="U26" s="99">
        <v>8</v>
      </c>
      <c r="V26" s="130">
        <v>85</v>
      </c>
      <c r="W26" s="281">
        <v>2</v>
      </c>
      <c r="X26" s="6"/>
      <c r="Y26" s="6"/>
      <c r="Z26" s="263"/>
      <c r="AA26" s="269" t="e">
        <f>IF(T26&amp;U26&amp;#REF! = "NNN","N",T26&amp;U26&amp;#REF!)</f>
        <v>#REF!</v>
      </c>
      <c r="AB26" s="269" t="e">
        <f>IF(#REF!&amp;#REF!&amp;#REF! = "NNN","N",#REF!&amp;#REF!&amp;#REF!)</f>
        <v>#REF!</v>
      </c>
      <c r="AC26" s="269" t="e">
        <f>IF(#REF!&amp;#REF!&amp;#REF! = "NNN","N",#REF!&amp;#REF!&amp;#REF!)</f>
        <v>#REF!</v>
      </c>
      <c r="AD26" s="269" t="e">
        <f>IF(#REF!&amp;#REF!= "NN","N",#REF!&amp;#REF!)</f>
        <v>#REF!</v>
      </c>
      <c r="AE26" s="268"/>
      <c r="AF26" s="268"/>
      <c r="AG26" s="255"/>
      <c r="AH26" s="6"/>
      <c r="AI26" s="6"/>
      <c r="AJ26" s="6"/>
      <c r="AK26" s="6">
        <f t="shared" si="0"/>
        <v>0</v>
      </c>
      <c r="AL26" s="6"/>
      <c r="AM26" s="6"/>
      <c r="AN26" s="6"/>
      <c r="AO26" s="6"/>
      <c r="AP26" s="6"/>
      <c r="AQ26" s="6"/>
    </row>
    <row r="27" spans="1:43" ht="12.75" customHeight="1">
      <c r="A27" s="12">
        <f>IF('СПИСОК КЛАССА'!J27&gt;0,1,0)</f>
        <v>1</v>
      </c>
      <c r="B27" s="226">
        <v>8</v>
      </c>
      <c r="C27" s="227">
        <f>IF(NOT(ISBLANK('СПИСОК КЛАССА'!C27)),'СПИСОК КЛАССА'!C27,"")</f>
        <v>8</v>
      </c>
      <c r="D27" s="131" t="str">
        <f>IF(NOT(ISBLANK('СПИСОК КЛАССА'!D27)),IF($A27=1,'СПИСОК КЛАССА'!D27, "УЧЕНИК НЕ ВЫПОЛНЯЛ РАБОТУ"),"")</f>
        <v/>
      </c>
      <c r="E27" s="313">
        <v>2</v>
      </c>
      <c r="F27" s="314">
        <v>3</v>
      </c>
      <c r="G27" s="314">
        <v>4</v>
      </c>
      <c r="H27" s="314">
        <v>1</v>
      </c>
      <c r="I27" s="314">
        <v>3</v>
      </c>
      <c r="J27" s="314">
        <v>2</v>
      </c>
      <c r="K27" s="314">
        <v>3</v>
      </c>
      <c r="L27" s="314">
        <v>2</v>
      </c>
      <c r="M27" s="314">
        <v>2</v>
      </c>
      <c r="N27" s="314">
        <v>3</v>
      </c>
      <c r="O27" s="314">
        <v>4</v>
      </c>
      <c r="P27" s="314">
        <v>2</v>
      </c>
      <c r="Q27" s="314">
        <v>4</v>
      </c>
      <c r="R27" s="314">
        <v>1</v>
      </c>
      <c r="S27" s="314">
        <v>3</v>
      </c>
      <c r="T27" s="130">
        <v>12</v>
      </c>
      <c r="U27" s="99">
        <v>6</v>
      </c>
      <c r="V27" s="130">
        <v>85</v>
      </c>
      <c r="W27" s="281">
        <v>0</v>
      </c>
      <c r="X27" s="6"/>
      <c r="Y27" s="6"/>
      <c r="Z27" s="263"/>
      <c r="AA27" s="269" t="e">
        <f>IF(T27&amp;U27&amp;#REF! = "NNN","N",T27&amp;U27&amp;#REF!)</f>
        <v>#REF!</v>
      </c>
      <c r="AB27" s="269" t="e">
        <f>IF(#REF!&amp;#REF!&amp;#REF! = "NNN","N",#REF!&amp;#REF!&amp;#REF!)</f>
        <v>#REF!</v>
      </c>
      <c r="AC27" s="269" t="e">
        <f>IF(#REF!&amp;#REF!&amp;#REF! = "NNN","N",#REF!&amp;#REF!&amp;#REF!)</f>
        <v>#REF!</v>
      </c>
      <c r="AD27" s="269" t="e">
        <f>IF(#REF!&amp;#REF!= "NN","N",#REF!&amp;#REF!)</f>
        <v>#REF!</v>
      </c>
      <c r="AE27" s="268"/>
      <c r="AF27" s="268"/>
      <c r="AG27" s="255"/>
      <c r="AH27" s="6"/>
      <c r="AI27" s="6"/>
      <c r="AJ27" s="6"/>
      <c r="AK27" s="6">
        <f t="shared" si="0"/>
        <v>0</v>
      </c>
      <c r="AL27" s="6"/>
      <c r="AM27" s="6"/>
      <c r="AN27" s="6"/>
      <c r="AO27" s="6"/>
      <c r="AP27" s="6"/>
      <c r="AQ27" s="6"/>
    </row>
    <row r="28" spans="1:43" ht="12.75" customHeight="1">
      <c r="A28" s="12">
        <f>IF('СПИСОК КЛАССА'!J28&gt;0,1,0)</f>
        <v>1</v>
      </c>
      <c r="B28" s="226">
        <v>9</v>
      </c>
      <c r="C28" s="227">
        <f>IF(NOT(ISBLANK('СПИСОК КЛАССА'!C28)),'СПИСОК КЛАССА'!C28,"")</f>
        <v>9</v>
      </c>
      <c r="D28" s="131" t="str">
        <f>IF(NOT(ISBLANK('СПИСОК КЛАССА'!D28)),IF($A28=1,'СПИСОК КЛАССА'!D28, "УЧЕНИК НЕ ВЫПОЛНЯЛ РАБОТУ"),"")</f>
        <v/>
      </c>
      <c r="E28" s="313">
        <v>2</v>
      </c>
      <c r="F28" s="314">
        <v>3</v>
      </c>
      <c r="G28" s="314">
        <v>1</v>
      </c>
      <c r="H28" s="314">
        <v>4</v>
      </c>
      <c r="I28" s="314">
        <v>1</v>
      </c>
      <c r="J28" s="314">
        <v>4</v>
      </c>
      <c r="K28" s="314">
        <v>1</v>
      </c>
      <c r="L28" s="314">
        <v>3</v>
      </c>
      <c r="M28" s="314">
        <v>1</v>
      </c>
      <c r="N28" s="314">
        <v>1</v>
      </c>
      <c r="O28" s="314">
        <v>2</v>
      </c>
      <c r="P28" s="314">
        <v>2</v>
      </c>
      <c r="Q28" s="314">
        <v>4</v>
      </c>
      <c r="R28" s="314">
        <v>1</v>
      </c>
      <c r="S28" s="314">
        <v>3</v>
      </c>
      <c r="T28" s="130" t="s">
        <v>249</v>
      </c>
      <c r="U28" s="99">
        <v>8</v>
      </c>
      <c r="V28" s="130">
        <v>85</v>
      </c>
      <c r="W28" s="281">
        <v>0</v>
      </c>
      <c r="X28" s="6"/>
      <c r="Y28" s="6"/>
      <c r="Z28" s="263"/>
      <c r="AA28" s="269" t="e">
        <f>IF(T28&amp;U28&amp;#REF! = "NNN","N",T28&amp;U28&amp;#REF!)</f>
        <v>#REF!</v>
      </c>
      <c r="AB28" s="269" t="e">
        <f>IF(#REF!&amp;#REF!&amp;#REF! = "NNN","N",#REF!&amp;#REF!&amp;#REF!)</f>
        <v>#REF!</v>
      </c>
      <c r="AC28" s="269" t="e">
        <f>IF(#REF!&amp;#REF!&amp;#REF! = "NNN","N",#REF!&amp;#REF!&amp;#REF!)</f>
        <v>#REF!</v>
      </c>
      <c r="AD28" s="269" t="e">
        <f>IF(#REF!&amp;#REF!= "NN","N",#REF!&amp;#REF!)</f>
        <v>#REF!</v>
      </c>
      <c r="AE28" s="268"/>
      <c r="AF28" s="268"/>
      <c r="AG28" s="255"/>
      <c r="AH28" s="6"/>
      <c r="AI28" s="6"/>
      <c r="AJ28" s="6"/>
      <c r="AK28" s="6">
        <f t="shared" si="0"/>
        <v>0</v>
      </c>
      <c r="AL28" s="6"/>
      <c r="AM28" s="6"/>
      <c r="AN28" s="6"/>
      <c r="AO28" s="6"/>
      <c r="AP28" s="6"/>
      <c r="AQ28" s="6"/>
    </row>
    <row r="29" spans="1:43" ht="12.75" customHeight="1">
      <c r="A29" s="12">
        <f>IF('СПИСОК КЛАССА'!J29&gt;0,1,0)</f>
        <v>1</v>
      </c>
      <c r="B29" s="226">
        <v>10</v>
      </c>
      <c r="C29" s="227">
        <f>IF(NOT(ISBLANK('СПИСОК КЛАССА'!C29)),'СПИСОК КЛАССА'!C29,"")</f>
        <v>10</v>
      </c>
      <c r="D29" s="131" t="str">
        <f>IF(NOT(ISBLANK('СПИСОК КЛАССА'!D29)),IF($A29=1,'СПИСОК КЛАССА'!D29, "УЧЕНИК НЕ ВЫПОЛНЯЛ РАБОТУ"),"")</f>
        <v/>
      </c>
      <c r="E29" s="313">
        <v>4</v>
      </c>
      <c r="F29" s="314">
        <v>2</v>
      </c>
      <c r="G29" s="314">
        <v>1</v>
      </c>
      <c r="H29" s="314">
        <v>4</v>
      </c>
      <c r="I29" s="314">
        <v>3</v>
      </c>
      <c r="J29" s="314">
        <v>2</v>
      </c>
      <c r="K29" s="314">
        <v>2</v>
      </c>
      <c r="L29" s="314">
        <v>4</v>
      </c>
      <c r="M29" s="314">
        <v>3</v>
      </c>
      <c r="N29" s="314">
        <v>1</v>
      </c>
      <c r="O29" s="314">
        <v>3</v>
      </c>
      <c r="P29" s="314">
        <v>1</v>
      </c>
      <c r="Q29" s="314">
        <v>3</v>
      </c>
      <c r="R29" s="314">
        <v>2</v>
      </c>
      <c r="S29" s="314">
        <v>3</v>
      </c>
      <c r="T29" s="130">
        <v>778</v>
      </c>
      <c r="U29" s="99">
        <v>27</v>
      </c>
      <c r="V29" s="130">
        <v>20</v>
      </c>
      <c r="W29" s="281">
        <v>0</v>
      </c>
      <c r="X29" s="6"/>
      <c r="Y29" s="6"/>
      <c r="Z29" s="263"/>
      <c r="AA29" s="269" t="e">
        <f>IF(T29&amp;U29&amp;#REF! = "NNN","N",T29&amp;U29&amp;#REF!)</f>
        <v>#REF!</v>
      </c>
      <c r="AB29" s="269" t="e">
        <f>IF(#REF!&amp;#REF!&amp;#REF! = "NNN","N",#REF!&amp;#REF!&amp;#REF!)</f>
        <v>#REF!</v>
      </c>
      <c r="AC29" s="269" t="e">
        <f>IF(#REF!&amp;#REF!&amp;#REF! = "NNN","N",#REF!&amp;#REF!&amp;#REF!)</f>
        <v>#REF!</v>
      </c>
      <c r="AD29" s="269" t="e">
        <f>IF(#REF!&amp;#REF!= "NN","N",#REF!&amp;#REF!)</f>
        <v>#REF!</v>
      </c>
      <c r="AE29" s="268"/>
      <c r="AF29" s="268"/>
      <c r="AG29" s="255"/>
      <c r="AH29" s="6"/>
      <c r="AI29" s="6"/>
      <c r="AJ29" s="6"/>
      <c r="AK29" s="6">
        <f t="shared" si="0"/>
        <v>0</v>
      </c>
      <c r="AL29" s="6"/>
      <c r="AM29" s="6"/>
      <c r="AN29" s="6"/>
      <c r="AO29" s="6"/>
      <c r="AP29" s="6"/>
      <c r="AQ29" s="6"/>
    </row>
    <row r="30" spans="1:43" ht="12.75" customHeight="1">
      <c r="A30" s="12">
        <f>IF('СПИСОК КЛАССА'!J30&gt;0,1,0)</f>
        <v>1</v>
      </c>
      <c r="B30" s="226">
        <v>11</v>
      </c>
      <c r="C30" s="227">
        <f>IF(NOT(ISBLANK('СПИСОК КЛАССА'!C30)),'СПИСОК КЛАССА'!C30,"")</f>
        <v>11</v>
      </c>
      <c r="D30" s="131" t="str">
        <f>IF(NOT(ISBLANK('СПИСОК КЛАССА'!D30)),IF($A30=1,'СПИСОК КЛАССА'!D30, "УЧЕНИК НЕ ВЫПОЛНЯЛ РАБОТУ"),"")</f>
        <v/>
      </c>
      <c r="E30" s="313">
        <v>2</v>
      </c>
      <c r="F30" s="314">
        <v>4</v>
      </c>
      <c r="G30" s="314">
        <v>1</v>
      </c>
      <c r="H30" s="314">
        <v>4</v>
      </c>
      <c r="I30" s="314">
        <v>3</v>
      </c>
      <c r="J30" s="314">
        <v>2</v>
      </c>
      <c r="K30" s="314">
        <v>2</v>
      </c>
      <c r="L30" s="314">
        <v>4</v>
      </c>
      <c r="M30" s="314">
        <v>4</v>
      </c>
      <c r="N30" s="314">
        <v>3</v>
      </c>
      <c r="O30" s="314">
        <v>3</v>
      </c>
      <c r="P30" s="314">
        <v>3</v>
      </c>
      <c r="Q30" s="314">
        <v>2</v>
      </c>
      <c r="R30" s="314">
        <v>2</v>
      </c>
      <c r="S30" s="314">
        <v>2</v>
      </c>
      <c r="T30" s="130">
        <v>778</v>
      </c>
      <c r="U30" s="99" t="s">
        <v>250</v>
      </c>
      <c r="V30" s="130">
        <v>22</v>
      </c>
      <c r="W30" s="281">
        <v>2</v>
      </c>
      <c r="X30" s="6"/>
      <c r="Y30" s="6"/>
      <c r="Z30" s="263"/>
      <c r="AA30" s="269" t="e">
        <f>IF(T30&amp;U30&amp;#REF! = "NNN","N",T30&amp;U30&amp;#REF!)</f>
        <v>#REF!</v>
      </c>
      <c r="AB30" s="269" t="e">
        <f>IF(#REF!&amp;#REF!&amp;#REF! = "NNN","N",#REF!&amp;#REF!&amp;#REF!)</f>
        <v>#REF!</v>
      </c>
      <c r="AC30" s="269" t="e">
        <f>IF(#REF!&amp;#REF!&amp;#REF! = "NNN","N",#REF!&amp;#REF!&amp;#REF!)</f>
        <v>#REF!</v>
      </c>
      <c r="AD30" s="269" t="e">
        <f>IF(#REF!&amp;#REF!= "NN","N",#REF!&amp;#REF!)</f>
        <v>#REF!</v>
      </c>
      <c r="AE30" s="268"/>
      <c r="AF30" s="268"/>
      <c r="AG30" s="255"/>
      <c r="AH30" s="6"/>
      <c r="AI30" s="6"/>
      <c r="AJ30" s="6"/>
      <c r="AK30" s="6">
        <f t="shared" si="0"/>
        <v>0</v>
      </c>
      <c r="AL30" s="6"/>
      <c r="AM30" s="6"/>
      <c r="AN30" s="6"/>
      <c r="AO30" s="6"/>
      <c r="AP30" s="6"/>
      <c r="AQ30" s="6"/>
    </row>
    <row r="31" spans="1:43" ht="12.75" customHeight="1">
      <c r="A31" s="12">
        <f>IF('СПИСОК КЛАССА'!J31&gt;0,1,0)</f>
        <v>1</v>
      </c>
      <c r="B31" s="226">
        <v>12</v>
      </c>
      <c r="C31" s="227">
        <f>IF(NOT(ISBLANK('СПИСОК КЛАССА'!C31)),'СПИСОК КЛАССА'!C31,"")</f>
        <v>12</v>
      </c>
      <c r="D31" s="131" t="str">
        <f>IF(NOT(ISBLANK('СПИСОК КЛАССА'!D31)),IF($A31=1,'СПИСОК КЛАССА'!D31, "УЧЕНИК НЕ ВЫПОЛНЯЛ РАБОТУ"),"")</f>
        <v/>
      </c>
      <c r="E31" s="313">
        <v>1</v>
      </c>
      <c r="F31" s="314">
        <v>4</v>
      </c>
      <c r="G31" s="314">
        <v>4</v>
      </c>
      <c r="H31" s="314">
        <v>2</v>
      </c>
      <c r="I31" s="314">
        <v>1</v>
      </c>
      <c r="J31" s="314">
        <v>3</v>
      </c>
      <c r="K31" s="314">
        <v>1</v>
      </c>
      <c r="L31" s="314">
        <v>4</v>
      </c>
      <c r="M31" s="314">
        <v>1</v>
      </c>
      <c r="N31" s="314">
        <v>1</v>
      </c>
      <c r="O31" s="314">
        <v>2</v>
      </c>
      <c r="P31" s="314">
        <v>4</v>
      </c>
      <c r="Q31" s="314">
        <v>4</v>
      </c>
      <c r="R31" s="314">
        <v>1</v>
      </c>
      <c r="S31" s="314">
        <v>1</v>
      </c>
      <c r="T31" s="130" t="s">
        <v>251</v>
      </c>
      <c r="U31" s="99">
        <v>49</v>
      </c>
      <c r="V31" s="130">
        <v>8</v>
      </c>
      <c r="W31" s="281">
        <v>2</v>
      </c>
      <c r="X31" s="6"/>
      <c r="Y31" s="6"/>
      <c r="Z31" s="263"/>
      <c r="AA31" s="269" t="e">
        <f>IF(T31&amp;U31&amp;#REF! = "NNN","N",T31&amp;U31&amp;#REF!)</f>
        <v>#REF!</v>
      </c>
      <c r="AB31" s="269" t="e">
        <f>IF(#REF!&amp;#REF!&amp;#REF! = "NNN","N",#REF!&amp;#REF!&amp;#REF!)</f>
        <v>#REF!</v>
      </c>
      <c r="AC31" s="269" t="e">
        <f>IF(#REF!&amp;#REF!&amp;#REF! = "NNN","N",#REF!&amp;#REF!&amp;#REF!)</f>
        <v>#REF!</v>
      </c>
      <c r="AD31" s="269" t="e">
        <f>IF(#REF!&amp;#REF!= "NN","N",#REF!&amp;#REF!)</f>
        <v>#REF!</v>
      </c>
      <c r="AE31" s="268"/>
      <c r="AF31" s="268"/>
      <c r="AG31" s="255"/>
      <c r="AH31" s="6"/>
      <c r="AI31" s="6"/>
      <c r="AJ31" s="6"/>
      <c r="AK31" s="6">
        <f t="shared" si="0"/>
        <v>0</v>
      </c>
      <c r="AL31" s="6"/>
      <c r="AM31" s="6"/>
      <c r="AN31" s="6"/>
      <c r="AO31" s="6"/>
      <c r="AP31" s="6"/>
      <c r="AQ31" s="6"/>
    </row>
    <row r="32" spans="1:43" ht="12.75" customHeight="1">
      <c r="A32" s="12">
        <f>IF('СПИСОК КЛАССА'!J32&gt;0,1,0)</f>
        <v>1</v>
      </c>
      <c r="B32" s="226">
        <v>13</v>
      </c>
      <c r="C32" s="227">
        <f>IF(NOT(ISBLANK('СПИСОК КЛАССА'!C32)),'СПИСОК КЛАССА'!C32,"")</f>
        <v>13</v>
      </c>
      <c r="D32" s="131" t="str">
        <f>IF(NOT(ISBLANK('СПИСОК КЛАССА'!D32)),IF($A32=1,'СПИСОК КЛАССА'!D32, "УЧЕНИК НЕ ВЫПОЛНЯЛ РАБОТУ"),"")</f>
        <v/>
      </c>
      <c r="E32" s="313">
        <v>2</v>
      </c>
      <c r="F32" s="314">
        <v>3</v>
      </c>
      <c r="G32" s="314">
        <v>4</v>
      </c>
      <c r="H32" s="314">
        <v>1</v>
      </c>
      <c r="I32" s="314">
        <v>1</v>
      </c>
      <c r="J32" s="314">
        <v>1</v>
      </c>
      <c r="K32" s="314">
        <v>3</v>
      </c>
      <c r="L32" s="314">
        <v>2</v>
      </c>
      <c r="M32" s="314">
        <v>1</v>
      </c>
      <c r="N32" s="314">
        <v>3</v>
      </c>
      <c r="O32" s="314">
        <v>4</v>
      </c>
      <c r="P32" s="314" t="s">
        <v>130</v>
      </c>
      <c r="Q32" s="314">
        <v>4</v>
      </c>
      <c r="R32" s="314">
        <v>3</v>
      </c>
      <c r="S32" s="314">
        <v>3</v>
      </c>
      <c r="T32" s="130">
        <v>40</v>
      </c>
      <c r="U32" s="99">
        <v>8</v>
      </c>
      <c r="V32" s="130">
        <v>85</v>
      </c>
      <c r="W32" s="281">
        <v>2</v>
      </c>
      <c r="X32" s="6"/>
      <c r="Y32" s="6"/>
      <c r="Z32" s="263"/>
      <c r="AA32" s="269" t="e">
        <f>IF(T32&amp;U32&amp;#REF! = "NNN","N",T32&amp;U32&amp;#REF!)</f>
        <v>#REF!</v>
      </c>
      <c r="AB32" s="269" t="e">
        <f>IF(#REF!&amp;#REF!&amp;#REF! = "NNN","N",#REF!&amp;#REF!&amp;#REF!)</f>
        <v>#REF!</v>
      </c>
      <c r="AC32" s="269" t="e">
        <f>IF(#REF!&amp;#REF!&amp;#REF! = "NNN","N",#REF!&amp;#REF!&amp;#REF!)</f>
        <v>#REF!</v>
      </c>
      <c r="AD32" s="269" t="e">
        <f>IF(#REF!&amp;#REF!= "NN","N",#REF!&amp;#REF!)</f>
        <v>#REF!</v>
      </c>
      <c r="AE32" s="268"/>
      <c r="AF32" s="268"/>
      <c r="AG32" s="255"/>
      <c r="AH32" s="6"/>
      <c r="AI32" s="6"/>
      <c r="AJ32" s="6"/>
      <c r="AK32" s="6">
        <f t="shared" si="0"/>
        <v>0</v>
      </c>
      <c r="AL32" s="6"/>
      <c r="AM32" s="6"/>
      <c r="AN32" s="6"/>
      <c r="AO32" s="6"/>
      <c r="AP32" s="6"/>
      <c r="AQ32" s="6"/>
    </row>
    <row r="33" spans="1:43" ht="12.75" customHeight="1">
      <c r="A33" s="12">
        <f>IF('СПИСОК КЛАССА'!J33&gt;0,1,0)</f>
        <v>0</v>
      </c>
      <c r="B33" s="226">
        <v>14</v>
      </c>
      <c r="C33" s="227">
        <f>IF(NOT(ISBLANK('СПИСОК КЛАССА'!C33)),'СПИСОК КЛАССА'!C33,"")</f>
        <v>14</v>
      </c>
      <c r="D33" s="131" t="str">
        <f>IF(NOT(ISBLANK('СПИСОК КЛАССА'!D33)),IF($A33=1,'СПИСОК КЛАССА'!D33, "УЧЕНИК НЕ ВЫПОЛНЯЛ РАБОТУ"),"")</f>
        <v/>
      </c>
      <c r="E33" s="313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130"/>
      <c r="U33" s="99"/>
      <c r="V33" s="130"/>
      <c r="W33" s="281"/>
      <c r="X33" s="6"/>
      <c r="Y33" s="6"/>
      <c r="Z33" s="263"/>
      <c r="AA33" s="269" t="e">
        <f>IF(T33&amp;U33&amp;#REF! = "NNN","N",T33&amp;U33&amp;#REF!)</f>
        <v>#REF!</v>
      </c>
      <c r="AB33" s="269" t="e">
        <f>IF(#REF!&amp;#REF!&amp;#REF! = "NNN","N",#REF!&amp;#REF!&amp;#REF!)</f>
        <v>#REF!</v>
      </c>
      <c r="AC33" s="269" t="e">
        <f>IF(#REF!&amp;#REF!&amp;#REF! = "NNN","N",#REF!&amp;#REF!&amp;#REF!)</f>
        <v>#REF!</v>
      </c>
      <c r="AD33" s="269" t="e">
        <f>IF(#REF!&amp;#REF!= "NN","N",#REF!&amp;#REF!)</f>
        <v>#REF!</v>
      </c>
      <c r="AE33" s="268"/>
      <c r="AF33" s="268"/>
      <c r="AG33" s="255"/>
      <c r="AH33" s="6"/>
      <c r="AI33" s="6"/>
      <c r="AJ33" s="6"/>
      <c r="AK33" s="6">
        <f t="shared" si="0"/>
        <v>0</v>
      </c>
      <c r="AL33" s="6"/>
      <c r="AM33" s="6"/>
      <c r="AN33" s="6"/>
      <c r="AO33" s="6"/>
      <c r="AP33" s="6"/>
      <c r="AQ33" s="6"/>
    </row>
    <row r="34" spans="1:43" ht="12.75" customHeight="1">
      <c r="A34" s="12">
        <f>IF('СПИСОК КЛАССА'!J34&gt;0,1,0)</f>
        <v>1</v>
      </c>
      <c r="B34" s="226">
        <v>15</v>
      </c>
      <c r="C34" s="227">
        <f>IF(NOT(ISBLANK('СПИСОК КЛАССА'!C34)),'СПИСОК КЛАССА'!C34,"")</f>
        <v>15</v>
      </c>
      <c r="D34" s="131" t="str">
        <f>IF(NOT(ISBLANK('СПИСОК КЛАССА'!D34)),IF($A34=1,'СПИСОК КЛАССА'!D34, "УЧЕНИК НЕ ВЫПОЛНЯЛ РАБОТУ"),"")</f>
        <v/>
      </c>
      <c r="E34" s="313">
        <v>4</v>
      </c>
      <c r="F34" s="314">
        <v>2</v>
      </c>
      <c r="G34" s="314">
        <v>1</v>
      </c>
      <c r="H34" s="314">
        <v>4</v>
      </c>
      <c r="I34" s="314">
        <v>4</v>
      </c>
      <c r="J34" s="314">
        <v>1</v>
      </c>
      <c r="K34" s="314">
        <v>3</v>
      </c>
      <c r="L34" s="314">
        <v>2</v>
      </c>
      <c r="M34" s="314">
        <v>3</v>
      </c>
      <c r="N34" s="314">
        <v>1</v>
      </c>
      <c r="O34" s="314">
        <v>4</v>
      </c>
      <c r="P34" s="314">
        <v>1</v>
      </c>
      <c r="Q34" s="314">
        <v>3</v>
      </c>
      <c r="R34" s="314">
        <v>2</v>
      </c>
      <c r="S34" s="314">
        <v>2</v>
      </c>
      <c r="T34" s="130">
        <v>778</v>
      </c>
      <c r="U34" s="99">
        <v>0</v>
      </c>
      <c r="V34" s="130">
        <v>22</v>
      </c>
      <c r="W34" s="281">
        <v>0</v>
      </c>
      <c r="X34" s="6"/>
      <c r="Y34" s="6"/>
      <c r="Z34" s="263"/>
      <c r="AA34" s="269" t="e">
        <f>IF(T34&amp;U34&amp;#REF! = "NNN","N",T34&amp;U34&amp;#REF!)</f>
        <v>#REF!</v>
      </c>
      <c r="AB34" s="269" t="e">
        <f>IF(#REF!&amp;#REF!&amp;#REF! = "NNN","N",#REF!&amp;#REF!&amp;#REF!)</f>
        <v>#REF!</v>
      </c>
      <c r="AC34" s="269" t="e">
        <f>IF(#REF!&amp;#REF!&amp;#REF! = "NNN","N",#REF!&amp;#REF!&amp;#REF!)</f>
        <v>#REF!</v>
      </c>
      <c r="AD34" s="269" t="e">
        <f>IF(#REF!&amp;#REF!= "NN","N",#REF!&amp;#REF!)</f>
        <v>#REF!</v>
      </c>
      <c r="AE34" s="268"/>
      <c r="AF34" s="268"/>
      <c r="AG34" s="255"/>
      <c r="AH34" s="6"/>
      <c r="AI34" s="6"/>
      <c r="AJ34" s="6"/>
      <c r="AK34" s="6">
        <f t="shared" si="0"/>
        <v>0</v>
      </c>
      <c r="AL34" s="6"/>
      <c r="AM34" s="6"/>
      <c r="AN34" s="6"/>
      <c r="AO34" s="6"/>
      <c r="AP34" s="6"/>
      <c r="AQ34" s="6"/>
    </row>
    <row r="35" spans="1:43" ht="12.75" customHeight="1">
      <c r="A35" s="12">
        <f>IF('СПИСОК КЛАССА'!J35&gt;0,1,0)</f>
        <v>1</v>
      </c>
      <c r="B35" s="226">
        <v>16</v>
      </c>
      <c r="C35" s="227">
        <f>IF(NOT(ISBLANK('СПИСОК КЛАССА'!C35)),'СПИСОК КЛАССА'!C35,"")</f>
        <v>16</v>
      </c>
      <c r="D35" s="131" t="str">
        <f>IF(NOT(ISBLANK('СПИСОК КЛАССА'!D35)),IF($A35=1,'СПИСОК КЛАССА'!D35, "УЧЕНИК НЕ ВЫПОЛНЯЛ РАБОТУ"),"")</f>
        <v/>
      </c>
      <c r="E35" s="313">
        <v>2</v>
      </c>
      <c r="F35" s="314">
        <v>1</v>
      </c>
      <c r="G35" s="314">
        <v>3</v>
      </c>
      <c r="H35" s="314" t="s">
        <v>130</v>
      </c>
      <c r="I35" s="314">
        <v>3</v>
      </c>
      <c r="J35" s="314">
        <v>3</v>
      </c>
      <c r="K35" s="314">
        <v>1</v>
      </c>
      <c r="L35" s="314">
        <v>2</v>
      </c>
      <c r="M35" s="314" t="s">
        <v>130</v>
      </c>
      <c r="N35" s="314">
        <v>1</v>
      </c>
      <c r="O35" s="314">
        <v>4</v>
      </c>
      <c r="P35" s="314">
        <v>2</v>
      </c>
      <c r="Q35" s="314">
        <v>1</v>
      </c>
      <c r="R35" s="314">
        <v>4</v>
      </c>
      <c r="S35" s="314">
        <v>2</v>
      </c>
      <c r="T35" s="130" t="s">
        <v>130</v>
      </c>
      <c r="U35" s="99" t="s">
        <v>130</v>
      </c>
      <c r="V35" s="130">
        <v>20</v>
      </c>
      <c r="W35" s="281" t="s">
        <v>130</v>
      </c>
      <c r="X35" s="6"/>
      <c r="Y35" s="6"/>
      <c r="Z35" s="263"/>
      <c r="AA35" s="269" t="e">
        <f>IF(T35&amp;U35&amp;#REF! = "NNN","N",T35&amp;U35&amp;#REF!)</f>
        <v>#REF!</v>
      </c>
      <c r="AB35" s="269" t="e">
        <f>IF(#REF!&amp;#REF!&amp;#REF! = "NNN","N",#REF!&amp;#REF!&amp;#REF!)</f>
        <v>#REF!</v>
      </c>
      <c r="AC35" s="269" t="e">
        <f>IF(#REF!&amp;#REF!&amp;#REF! = "NNN","N",#REF!&amp;#REF!&amp;#REF!)</f>
        <v>#REF!</v>
      </c>
      <c r="AD35" s="269" t="e">
        <f>IF(#REF!&amp;#REF!= "NN","N",#REF!&amp;#REF!)</f>
        <v>#REF!</v>
      </c>
      <c r="AE35" s="268"/>
      <c r="AF35" s="268"/>
      <c r="AG35" s="255"/>
      <c r="AH35" s="6"/>
      <c r="AI35" s="6"/>
      <c r="AJ35" s="6"/>
      <c r="AK35" s="6">
        <f t="shared" si="0"/>
        <v>0</v>
      </c>
      <c r="AL35" s="6"/>
      <c r="AM35" s="6"/>
      <c r="AN35" s="6"/>
      <c r="AO35" s="6"/>
      <c r="AP35" s="6"/>
      <c r="AQ35" s="6"/>
    </row>
    <row r="36" spans="1:43" ht="12.75" customHeight="1">
      <c r="A36" s="12">
        <f>IF('СПИСОК КЛАССА'!J36&gt;0,1,0)</f>
        <v>1</v>
      </c>
      <c r="B36" s="226">
        <v>17</v>
      </c>
      <c r="C36" s="227">
        <f>IF(NOT(ISBLANK('СПИСОК КЛАССА'!C36)),'СПИСОК КЛАССА'!C36,"")</f>
        <v>17</v>
      </c>
      <c r="D36" s="131" t="str">
        <f>IF(NOT(ISBLANK('СПИСОК КЛАССА'!D36)),IF($A36=1,'СПИСОК КЛАССА'!D36, "УЧЕНИК НЕ ВЫПОЛНЯЛ РАБОТУ"),"")</f>
        <v/>
      </c>
      <c r="E36" s="313">
        <v>2</v>
      </c>
      <c r="F36" s="314">
        <v>1</v>
      </c>
      <c r="G36" s="314">
        <v>3</v>
      </c>
      <c r="H36" s="314">
        <v>2</v>
      </c>
      <c r="I36" s="314">
        <v>2</v>
      </c>
      <c r="J36" s="314">
        <v>1</v>
      </c>
      <c r="K36" s="314">
        <v>1</v>
      </c>
      <c r="L36" s="314">
        <v>1</v>
      </c>
      <c r="M36" s="314">
        <v>4</v>
      </c>
      <c r="N36" s="314">
        <v>1</v>
      </c>
      <c r="O36" s="314">
        <v>4</v>
      </c>
      <c r="P36" s="314">
        <v>1</v>
      </c>
      <c r="Q36" s="314">
        <v>4</v>
      </c>
      <c r="R36" s="314">
        <v>4</v>
      </c>
      <c r="S36" s="314">
        <v>2</v>
      </c>
      <c r="T36" s="130">
        <v>3</v>
      </c>
      <c r="U36" s="99">
        <v>2</v>
      </c>
      <c r="V36" s="130">
        <v>20</v>
      </c>
      <c r="W36" s="281">
        <v>2</v>
      </c>
      <c r="X36" s="6"/>
      <c r="Y36" s="6"/>
      <c r="Z36" s="263"/>
      <c r="AA36" s="269" t="e">
        <f>IF(T36&amp;U36&amp;#REF! = "NNN","N",T36&amp;U36&amp;#REF!)</f>
        <v>#REF!</v>
      </c>
      <c r="AB36" s="269" t="e">
        <f>IF(#REF!&amp;#REF!&amp;#REF! = "NNN","N",#REF!&amp;#REF!&amp;#REF!)</f>
        <v>#REF!</v>
      </c>
      <c r="AC36" s="269" t="e">
        <f>IF(#REF!&amp;#REF!&amp;#REF! = "NNN","N",#REF!&amp;#REF!&amp;#REF!)</f>
        <v>#REF!</v>
      </c>
      <c r="AD36" s="269" t="e">
        <f>IF(#REF!&amp;#REF!= "NN","N",#REF!&amp;#REF!)</f>
        <v>#REF!</v>
      </c>
      <c r="AE36" s="268"/>
      <c r="AF36" s="268"/>
      <c r="AG36" s="255"/>
      <c r="AH36" s="6"/>
      <c r="AI36" s="6"/>
      <c r="AJ36" s="6"/>
      <c r="AK36" s="6">
        <f t="shared" si="0"/>
        <v>0</v>
      </c>
      <c r="AL36" s="6"/>
      <c r="AM36" s="6"/>
      <c r="AN36" s="6"/>
      <c r="AO36" s="6"/>
      <c r="AP36" s="6"/>
      <c r="AQ36" s="6"/>
    </row>
    <row r="37" spans="1:43" ht="12.75" customHeight="1">
      <c r="A37" s="12">
        <f>IF('СПИСОК КЛАССА'!J37&gt;0,1,0)</f>
        <v>1</v>
      </c>
      <c r="B37" s="226">
        <v>18</v>
      </c>
      <c r="C37" s="227">
        <f>IF(NOT(ISBLANK('СПИСОК КЛАССА'!C37)),'СПИСОК КЛАССА'!C37,"")</f>
        <v>18</v>
      </c>
      <c r="D37" s="131" t="str">
        <f>IF(NOT(ISBLANK('СПИСОК КЛАССА'!D37)),IF($A37=1,'СПИСОК КЛАССА'!D37, "УЧЕНИК НЕ ВЫПОЛНЯЛ РАБОТУ"),"")</f>
        <v/>
      </c>
      <c r="E37" s="313">
        <v>2</v>
      </c>
      <c r="F37" s="314">
        <v>3</v>
      </c>
      <c r="G37" s="314">
        <v>4</v>
      </c>
      <c r="H37" s="314">
        <v>4</v>
      </c>
      <c r="I37" s="314">
        <v>1</v>
      </c>
      <c r="J37" s="314">
        <v>4</v>
      </c>
      <c r="K37" s="314">
        <v>3</v>
      </c>
      <c r="L37" s="314">
        <v>2</v>
      </c>
      <c r="M37" s="314">
        <v>1</v>
      </c>
      <c r="N37" s="314">
        <v>3</v>
      </c>
      <c r="O37" s="314">
        <v>2</v>
      </c>
      <c r="P37" s="314">
        <v>2</v>
      </c>
      <c r="Q37" s="314">
        <v>4</v>
      </c>
      <c r="R37" s="314">
        <v>1</v>
      </c>
      <c r="S37" s="314">
        <v>3</v>
      </c>
      <c r="T37" s="130">
        <v>40</v>
      </c>
      <c r="U37" s="99">
        <v>8</v>
      </c>
      <c r="V37" s="130">
        <v>85</v>
      </c>
      <c r="W37" s="281">
        <v>2</v>
      </c>
      <c r="X37" s="6"/>
      <c r="Y37" s="6"/>
      <c r="Z37" s="263"/>
      <c r="AA37" s="269" t="e">
        <f>IF(T37&amp;U37&amp;#REF! = "NNN","N",T37&amp;U37&amp;#REF!)</f>
        <v>#REF!</v>
      </c>
      <c r="AB37" s="269" t="e">
        <f>IF(#REF!&amp;#REF!&amp;#REF! = "NNN","N",#REF!&amp;#REF!&amp;#REF!)</f>
        <v>#REF!</v>
      </c>
      <c r="AC37" s="269" t="e">
        <f>IF(#REF!&amp;#REF!&amp;#REF! = "NNN","N",#REF!&amp;#REF!&amp;#REF!)</f>
        <v>#REF!</v>
      </c>
      <c r="AD37" s="269" t="e">
        <f>IF(#REF!&amp;#REF!= "NN","N",#REF!&amp;#REF!)</f>
        <v>#REF!</v>
      </c>
      <c r="AE37" s="268"/>
      <c r="AF37" s="268"/>
      <c r="AG37" s="255"/>
      <c r="AH37" s="6"/>
      <c r="AI37" s="6"/>
      <c r="AJ37" s="6"/>
      <c r="AK37" s="6">
        <f t="shared" si="0"/>
        <v>0</v>
      </c>
      <c r="AL37" s="6"/>
      <c r="AM37" s="6"/>
      <c r="AN37" s="6"/>
      <c r="AO37" s="6"/>
      <c r="AP37" s="6"/>
      <c r="AQ37" s="6"/>
    </row>
    <row r="38" spans="1:43" ht="12.75" customHeight="1">
      <c r="A38" s="12">
        <f>IF('СПИСОК КЛАССА'!J38&gt;0,1,0)</f>
        <v>1</v>
      </c>
      <c r="B38" s="226">
        <v>19</v>
      </c>
      <c r="C38" s="227">
        <f>IF(NOT(ISBLANK('СПИСОК КЛАССА'!C38)),'СПИСОК КЛАССА'!C38,"")</f>
        <v>19</v>
      </c>
      <c r="D38" s="131" t="str">
        <f>IF(NOT(ISBLANK('СПИСОК КЛАССА'!D38)),IF($A38=1,'СПИСОК КЛАССА'!D38, "УЧЕНИК НЕ ВЫПОЛНЯЛ РАБОТУ"),"")</f>
        <v/>
      </c>
      <c r="E38" s="313">
        <v>4</v>
      </c>
      <c r="F38" s="314">
        <v>2</v>
      </c>
      <c r="G38" s="314">
        <v>4</v>
      </c>
      <c r="H38" s="314">
        <v>4</v>
      </c>
      <c r="I38" s="314">
        <v>3</v>
      </c>
      <c r="J38" s="314">
        <v>2</v>
      </c>
      <c r="K38" s="314">
        <v>1</v>
      </c>
      <c r="L38" s="314">
        <v>4</v>
      </c>
      <c r="M38" s="314">
        <v>3</v>
      </c>
      <c r="N38" s="314">
        <v>3</v>
      </c>
      <c r="O38" s="314">
        <v>2</v>
      </c>
      <c r="P38" s="314">
        <v>3</v>
      </c>
      <c r="Q38" s="314">
        <v>3</v>
      </c>
      <c r="R38" s="314">
        <v>2</v>
      </c>
      <c r="S38" s="314">
        <v>2</v>
      </c>
      <c r="T38" s="130">
        <v>778</v>
      </c>
      <c r="U38" s="99" t="s">
        <v>248</v>
      </c>
      <c r="V38" s="130">
        <v>5</v>
      </c>
      <c r="W38" s="281">
        <v>2</v>
      </c>
      <c r="X38" s="6"/>
      <c r="Y38" s="6"/>
      <c r="Z38" s="263"/>
      <c r="AA38" s="269" t="e">
        <f>IF(T38&amp;U38&amp;#REF! = "NNN","N",T38&amp;U38&amp;#REF!)</f>
        <v>#REF!</v>
      </c>
      <c r="AB38" s="269" t="e">
        <f>IF(#REF!&amp;#REF!&amp;#REF! = "NNN","N",#REF!&amp;#REF!&amp;#REF!)</f>
        <v>#REF!</v>
      </c>
      <c r="AC38" s="269" t="e">
        <f>IF(#REF!&amp;#REF!&amp;#REF! = "NNN","N",#REF!&amp;#REF!&amp;#REF!)</f>
        <v>#REF!</v>
      </c>
      <c r="AD38" s="269" t="e">
        <f>IF(#REF!&amp;#REF!= "NN","N",#REF!&amp;#REF!)</f>
        <v>#REF!</v>
      </c>
      <c r="AE38" s="268"/>
      <c r="AF38" s="268"/>
      <c r="AG38" s="255"/>
      <c r="AH38" s="6"/>
      <c r="AI38" s="6"/>
      <c r="AJ38" s="6"/>
      <c r="AK38" s="6">
        <f t="shared" si="0"/>
        <v>0</v>
      </c>
      <c r="AL38" s="6"/>
      <c r="AM38" s="6"/>
      <c r="AN38" s="6"/>
      <c r="AO38" s="6"/>
      <c r="AP38" s="6"/>
      <c r="AQ38" s="6"/>
    </row>
    <row r="39" spans="1:43" ht="12.75" customHeight="1">
      <c r="A39" s="12">
        <f>IF('СПИСОК КЛАССА'!J39&gt;0,1,0)</f>
        <v>1</v>
      </c>
      <c r="B39" s="226">
        <v>20</v>
      </c>
      <c r="C39" s="227">
        <f>IF(NOT(ISBLANK('СПИСОК КЛАССА'!C39)),'СПИСОК КЛАССА'!C39,"")</f>
        <v>20</v>
      </c>
      <c r="D39" s="131" t="str">
        <f>IF(NOT(ISBLANK('СПИСОК КЛАССА'!D39)),IF($A39=1,'СПИСОК КЛАССА'!D39, "УЧЕНИК НЕ ВЫПОЛНЯЛ РАБОТУ"),"")</f>
        <v/>
      </c>
      <c r="E39" s="313">
        <v>2</v>
      </c>
      <c r="F39" s="314">
        <v>3</v>
      </c>
      <c r="G39" s="314">
        <v>4</v>
      </c>
      <c r="H39" s="314">
        <v>4</v>
      </c>
      <c r="I39" s="314">
        <v>1</v>
      </c>
      <c r="J39" s="314">
        <v>2</v>
      </c>
      <c r="K39" s="314">
        <v>3</v>
      </c>
      <c r="L39" s="314">
        <v>1</v>
      </c>
      <c r="M39" s="314">
        <v>1</v>
      </c>
      <c r="N39" s="314">
        <v>4</v>
      </c>
      <c r="O39" s="314">
        <v>4</v>
      </c>
      <c r="P39" s="314">
        <v>2</v>
      </c>
      <c r="Q39" s="314">
        <v>4</v>
      </c>
      <c r="R39" s="314">
        <v>2</v>
      </c>
      <c r="S39" s="314">
        <v>3</v>
      </c>
      <c r="T39" s="130">
        <v>40</v>
      </c>
      <c r="U39" s="99">
        <v>8</v>
      </c>
      <c r="V39" s="130">
        <v>85</v>
      </c>
      <c r="W39" s="281">
        <v>0</v>
      </c>
      <c r="X39" s="6"/>
      <c r="Y39" s="6"/>
      <c r="Z39" s="263"/>
      <c r="AA39" s="269" t="e">
        <f>IF(T39&amp;U39&amp;#REF! = "NNN","N",T39&amp;U39&amp;#REF!)</f>
        <v>#REF!</v>
      </c>
      <c r="AB39" s="269" t="e">
        <f>IF(#REF!&amp;#REF!&amp;#REF! = "NNN","N",#REF!&amp;#REF!&amp;#REF!)</f>
        <v>#REF!</v>
      </c>
      <c r="AC39" s="269" t="e">
        <f>IF(#REF!&amp;#REF!&amp;#REF! = "NNN","N",#REF!&amp;#REF!&amp;#REF!)</f>
        <v>#REF!</v>
      </c>
      <c r="AD39" s="269" t="e">
        <f>IF(#REF!&amp;#REF!= "NN","N",#REF!&amp;#REF!)</f>
        <v>#REF!</v>
      </c>
      <c r="AE39" s="268"/>
      <c r="AF39" s="268"/>
      <c r="AG39" s="255"/>
      <c r="AH39" s="6"/>
      <c r="AI39" s="6"/>
      <c r="AJ39" s="6"/>
      <c r="AK39" s="6">
        <f t="shared" si="0"/>
        <v>0</v>
      </c>
      <c r="AL39" s="6"/>
      <c r="AM39" s="6"/>
      <c r="AN39" s="6"/>
      <c r="AO39" s="6"/>
      <c r="AP39" s="6"/>
      <c r="AQ39" s="6"/>
    </row>
    <row r="40" spans="1:43" ht="12.75" customHeight="1">
      <c r="A40" s="12">
        <f>IF('СПИСОК КЛАССА'!J40&gt;0,1,0)</f>
        <v>1</v>
      </c>
      <c r="B40" s="226">
        <v>21</v>
      </c>
      <c r="C40" s="227">
        <f>IF(NOT(ISBLANK('СПИСОК КЛАССА'!C40)),'СПИСОК КЛАССА'!C40,"")</f>
        <v>21</v>
      </c>
      <c r="D40" s="131" t="str">
        <f>IF(NOT(ISBLANK('СПИСОК КЛАССА'!D40)),IF($A40=1,'СПИСОК КЛАССА'!D40, "УЧЕНИК НЕ ВЫПОЛНЯЛ РАБОТУ"),"")</f>
        <v/>
      </c>
      <c r="E40" s="313">
        <v>4</v>
      </c>
      <c r="F40" s="314">
        <v>1</v>
      </c>
      <c r="G40" s="314">
        <v>3</v>
      </c>
      <c r="H40" s="314">
        <v>1</v>
      </c>
      <c r="I40" s="314">
        <v>4</v>
      </c>
      <c r="J40" s="314">
        <v>1</v>
      </c>
      <c r="K40" s="314">
        <v>1</v>
      </c>
      <c r="L40" s="314">
        <v>1</v>
      </c>
      <c r="M40" s="314">
        <v>1</v>
      </c>
      <c r="N40" s="314">
        <v>2</v>
      </c>
      <c r="O40" s="314">
        <v>2</v>
      </c>
      <c r="P40" s="314">
        <v>4</v>
      </c>
      <c r="Q40" s="314">
        <v>1</v>
      </c>
      <c r="R40" s="314">
        <v>4</v>
      </c>
      <c r="S40" s="314">
        <v>1</v>
      </c>
      <c r="T40" s="130">
        <v>3</v>
      </c>
      <c r="U40" s="99">
        <v>2</v>
      </c>
      <c r="V40" s="130">
        <v>15</v>
      </c>
      <c r="W40" s="281" t="s">
        <v>130</v>
      </c>
      <c r="X40" s="6"/>
      <c r="Y40" s="6"/>
      <c r="Z40" s="263"/>
      <c r="AA40" s="269" t="e">
        <f>IF(T40&amp;U40&amp;#REF! = "NNN","N",T40&amp;U40&amp;#REF!)</f>
        <v>#REF!</v>
      </c>
      <c r="AB40" s="269" t="e">
        <f>IF(#REF!&amp;#REF!&amp;#REF! = "NNN","N",#REF!&amp;#REF!&amp;#REF!)</f>
        <v>#REF!</v>
      </c>
      <c r="AC40" s="269" t="e">
        <f>IF(#REF!&amp;#REF!&amp;#REF! = "NNN","N",#REF!&amp;#REF!&amp;#REF!)</f>
        <v>#REF!</v>
      </c>
      <c r="AD40" s="269" t="e">
        <f>IF(#REF!&amp;#REF!= "NN","N",#REF!&amp;#REF!)</f>
        <v>#REF!</v>
      </c>
      <c r="AE40" s="268"/>
      <c r="AF40" s="268"/>
      <c r="AG40" s="255"/>
      <c r="AH40" s="6"/>
      <c r="AI40" s="6"/>
      <c r="AJ40" s="6"/>
      <c r="AK40" s="6">
        <f t="shared" si="0"/>
        <v>0</v>
      </c>
      <c r="AL40" s="6"/>
      <c r="AM40" s="6"/>
      <c r="AN40" s="6"/>
      <c r="AO40" s="6"/>
      <c r="AP40" s="6"/>
      <c r="AQ40" s="6"/>
    </row>
    <row r="41" spans="1:43" ht="12.75" customHeight="1">
      <c r="A41" s="12">
        <f>IF('СПИСОК КЛАССА'!J41&gt;0,1,0)</f>
        <v>1</v>
      </c>
      <c r="B41" s="226">
        <v>22</v>
      </c>
      <c r="C41" s="227">
        <f>IF(NOT(ISBLANK('СПИСОК КЛАССА'!C41)),'СПИСОК КЛАССА'!C41,"")</f>
        <v>22</v>
      </c>
      <c r="D41" s="131" t="str">
        <f>IF(NOT(ISBLANK('СПИСОК КЛАССА'!D41)),IF($A41=1,'СПИСОК КЛАССА'!D41, "УЧЕНИК НЕ ВЫПОЛНЯЛ РАБОТУ"),"")</f>
        <v/>
      </c>
      <c r="E41" s="313">
        <v>1</v>
      </c>
      <c r="F41" s="314">
        <v>1</v>
      </c>
      <c r="G41" s="314">
        <v>4</v>
      </c>
      <c r="H41" s="314">
        <v>3</v>
      </c>
      <c r="I41" s="314">
        <v>3</v>
      </c>
      <c r="J41" s="314">
        <v>3</v>
      </c>
      <c r="K41" s="314">
        <v>3</v>
      </c>
      <c r="L41" s="314">
        <v>1</v>
      </c>
      <c r="M41" s="314">
        <v>4</v>
      </c>
      <c r="N41" s="314">
        <v>1</v>
      </c>
      <c r="O41" s="314">
        <v>2</v>
      </c>
      <c r="P41" s="314">
        <v>4</v>
      </c>
      <c r="Q41" s="314">
        <v>4</v>
      </c>
      <c r="R41" s="314">
        <v>1</v>
      </c>
      <c r="S41" s="314">
        <v>1</v>
      </c>
      <c r="T41" s="130" t="s">
        <v>251</v>
      </c>
      <c r="U41" s="99">
        <v>49</v>
      </c>
      <c r="V41" s="130">
        <v>13</v>
      </c>
      <c r="W41" s="281">
        <v>0</v>
      </c>
      <c r="X41" s="6"/>
      <c r="Y41" s="6"/>
      <c r="Z41" s="263"/>
      <c r="AA41" s="269" t="e">
        <f>IF(T41&amp;U41&amp;#REF! = "NNN","N",T41&amp;U41&amp;#REF!)</f>
        <v>#REF!</v>
      </c>
      <c r="AB41" s="269" t="e">
        <f>IF(#REF!&amp;#REF!&amp;#REF! = "NNN","N",#REF!&amp;#REF!&amp;#REF!)</f>
        <v>#REF!</v>
      </c>
      <c r="AC41" s="269" t="e">
        <f>IF(#REF!&amp;#REF!&amp;#REF! = "NNN","N",#REF!&amp;#REF!&amp;#REF!)</f>
        <v>#REF!</v>
      </c>
      <c r="AD41" s="269" t="e">
        <f>IF(#REF!&amp;#REF!= "NN","N",#REF!&amp;#REF!)</f>
        <v>#REF!</v>
      </c>
      <c r="AE41" s="268"/>
      <c r="AF41" s="268"/>
      <c r="AG41" s="255"/>
      <c r="AH41" s="6"/>
      <c r="AI41" s="6"/>
      <c r="AJ41" s="6"/>
      <c r="AK41" s="6">
        <f t="shared" si="0"/>
        <v>0</v>
      </c>
      <c r="AL41" s="6"/>
      <c r="AM41" s="6"/>
      <c r="AN41" s="6"/>
      <c r="AO41" s="6"/>
      <c r="AP41" s="6"/>
      <c r="AQ41" s="6"/>
    </row>
    <row r="42" spans="1:43" ht="12.75" customHeight="1">
      <c r="A42" s="12">
        <f>IF('СПИСОК КЛАССА'!J42&gt;0,1,0)</f>
        <v>1</v>
      </c>
      <c r="B42" s="226">
        <v>23</v>
      </c>
      <c r="C42" s="227">
        <f>IF(NOT(ISBLANK('СПИСОК КЛАССА'!C42)),'СПИСОК КЛАССА'!C42,"")</f>
        <v>23</v>
      </c>
      <c r="D42" s="131" t="str">
        <f>IF(NOT(ISBLANK('СПИСОК КЛАССА'!D42)),IF($A42=1,'СПИСОК КЛАССА'!D42, "УЧЕНИК НЕ ВЫПОЛНЯЛ РАБОТУ"),"")</f>
        <v/>
      </c>
      <c r="E42" s="313">
        <v>1</v>
      </c>
      <c r="F42" s="314">
        <v>4</v>
      </c>
      <c r="G42" s="314">
        <v>4</v>
      </c>
      <c r="H42" s="314">
        <v>3</v>
      </c>
      <c r="I42" s="314">
        <v>3</v>
      </c>
      <c r="J42" s="314">
        <v>3</v>
      </c>
      <c r="K42" s="314">
        <v>1</v>
      </c>
      <c r="L42" s="314">
        <v>1</v>
      </c>
      <c r="M42" s="314">
        <v>1</v>
      </c>
      <c r="N42" s="314">
        <v>2</v>
      </c>
      <c r="O42" s="314">
        <v>3</v>
      </c>
      <c r="P42" s="314">
        <v>4</v>
      </c>
      <c r="Q42" s="314">
        <v>1</v>
      </c>
      <c r="R42" s="314">
        <v>3</v>
      </c>
      <c r="S42" s="314">
        <v>1</v>
      </c>
      <c r="T42" s="130" t="s">
        <v>251</v>
      </c>
      <c r="U42" s="99">
        <v>49</v>
      </c>
      <c r="V42" s="130">
        <v>20</v>
      </c>
      <c r="W42" s="281">
        <v>2</v>
      </c>
      <c r="X42" s="6"/>
      <c r="Y42" s="6"/>
      <c r="Z42" s="263"/>
      <c r="AA42" s="269" t="e">
        <f>IF(T42&amp;U42&amp;#REF! = "NNN","N",T42&amp;U42&amp;#REF!)</f>
        <v>#REF!</v>
      </c>
      <c r="AB42" s="269" t="e">
        <f>IF(#REF!&amp;#REF!&amp;#REF! = "NNN","N",#REF!&amp;#REF!&amp;#REF!)</f>
        <v>#REF!</v>
      </c>
      <c r="AC42" s="269" t="e">
        <f>IF(#REF!&amp;#REF!&amp;#REF! = "NNN","N",#REF!&amp;#REF!&amp;#REF!)</f>
        <v>#REF!</v>
      </c>
      <c r="AD42" s="269" t="e">
        <f>IF(#REF!&amp;#REF!= "NN","N",#REF!&amp;#REF!)</f>
        <v>#REF!</v>
      </c>
      <c r="AE42" s="268"/>
      <c r="AF42" s="268"/>
      <c r="AG42" s="255"/>
      <c r="AH42" s="6"/>
      <c r="AI42" s="6"/>
      <c r="AJ42" s="6"/>
      <c r="AK42" s="6">
        <f t="shared" si="0"/>
        <v>0</v>
      </c>
      <c r="AL42" s="6"/>
      <c r="AM42" s="6"/>
      <c r="AN42" s="6"/>
      <c r="AO42" s="6"/>
      <c r="AP42" s="6"/>
      <c r="AQ42" s="6"/>
    </row>
    <row r="43" spans="1:43" ht="12.75" customHeight="1">
      <c r="A43" s="12">
        <f>IF('СПИСОК КЛАССА'!J43&gt;0,1,0)</f>
        <v>1</v>
      </c>
      <c r="B43" s="226">
        <v>24</v>
      </c>
      <c r="C43" s="227">
        <f>IF(NOT(ISBLANK('СПИСОК КЛАССА'!C43)),'СПИСОК КЛАССА'!C43,"")</f>
        <v>24</v>
      </c>
      <c r="D43" s="131" t="str">
        <f>IF(NOT(ISBLANK('СПИСОК КЛАССА'!D43)),IF($A43=1,'СПИСОК КЛАССА'!D43, "УЧЕНИК НЕ ВЫПОЛНЯЛ РАБОТУ"),"")</f>
        <v/>
      </c>
      <c r="E43" s="313">
        <v>2</v>
      </c>
      <c r="F43" s="314">
        <v>1</v>
      </c>
      <c r="G43" s="314">
        <v>3</v>
      </c>
      <c r="H43" s="314">
        <v>1</v>
      </c>
      <c r="I43" s="314">
        <v>2</v>
      </c>
      <c r="J43" s="314">
        <v>3</v>
      </c>
      <c r="K43" s="314">
        <v>4</v>
      </c>
      <c r="L43" s="314">
        <v>2</v>
      </c>
      <c r="M43" s="314">
        <v>1</v>
      </c>
      <c r="N43" s="314">
        <v>1</v>
      </c>
      <c r="O43" s="314">
        <v>2</v>
      </c>
      <c r="P43" s="314">
        <v>2</v>
      </c>
      <c r="Q43" s="314">
        <v>1</v>
      </c>
      <c r="R43" s="314">
        <v>4</v>
      </c>
      <c r="S43" s="314">
        <v>2</v>
      </c>
      <c r="T43" s="130">
        <v>3</v>
      </c>
      <c r="U43" s="99">
        <v>2</v>
      </c>
      <c r="V43" s="130">
        <v>20</v>
      </c>
      <c r="W43" s="281">
        <v>0</v>
      </c>
      <c r="X43" s="6"/>
      <c r="Y43" s="6"/>
      <c r="Z43" s="263"/>
      <c r="AA43" s="269" t="e">
        <f>IF(T43&amp;U43&amp;#REF! = "NNN","N",T43&amp;U43&amp;#REF!)</f>
        <v>#REF!</v>
      </c>
      <c r="AB43" s="269" t="e">
        <f>IF(#REF!&amp;#REF!&amp;#REF! = "NNN","N",#REF!&amp;#REF!&amp;#REF!)</f>
        <v>#REF!</v>
      </c>
      <c r="AC43" s="269" t="e">
        <f>IF(#REF!&amp;#REF!&amp;#REF! = "NNN","N",#REF!&amp;#REF!&amp;#REF!)</f>
        <v>#REF!</v>
      </c>
      <c r="AD43" s="269" t="e">
        <f>IF(#REF!&amp;#REF!= "NN","N",#REF!&amp;#REF!)</f>
        <v>#REF!</v>
      </c>
      <c r="AE43" s="268"/>
      <c r="AF43" s="268"/>
      <c r="AG43" s="255"/>
      <c r="AH43" s="6"/>
      <c r="AI43" s="6"/>
      <c r="AJ43" s="6"/>
      <c r="AK43" s="6">
        <f t="shared" si="0"/>
        <v>0</v>
      </c>
      <c r="AL43" s="6"/>
      <c r="AM43" s="6"/>
      <c r="AN43" s="6"/>
      <c r="AO43" s="6"/>
      <c r="AP43" s="6"/>
      <c r="AQ43" s="6"/>
    </row>
    <row r="44" spans="1:43" ht="12.75" customHeight="1">
      <c r="A44" s="12">
        <f>IF('СПИСОК КЛАССА'!J44&gt;0,1,0)</f>
        <v>1</v>
      </c>
      <c r="B44" s="226">
        <v>25</v>
      </c>
      <c r="C44" s="227">
        <f>IF(NOT(ISBLANK('СПИСОК КЛАССА'!C44)),'СПИСОК КЛАССА'!C44,"")</f>
        <v>25</v>
      </c>
      <c r="D44" s="131" t="str">
        <f>IF(NOT(ISBLANK('СПИСОК КЛАССА'!D44)),IF($A44=1,'СПИСОК КЛАССА'!D44, "УЧЕНИК НЕ ВЫПОЛНЯЛ РАБОТУ"),"")</f>
        <v/>
      </c>
      <c r="E44" s="313">
        <v>1</v>
      </c>
      <c r="F44" s="314">
        <v>4</v>
      </c>
      <c r="G44" s="314">
        <v>4</v>
      </c>
      <c r="H44" s="314">
        <v>2</v>
      </c>
      <c r="I44" s="314">
        <v>1</v>
      </c>
      <c r="J44" s="314">
        <v>3</v>
      </c>
      <c r="K44" s="314">
        <v>1</v>
      </c>
      <c r="L44" s="314">
        <v>4</v>
      </c>
      <c r="M44" s="314">
        <v>1</v>
      </c>
      <c r="N44" s="314">
        <v>2</v>
      </c>
      <c r="O44" s="314">
        <v>3</v>
      </c>
      <c r="P44" s="314">
        <v>1</v>
      </c>
      <c r="Q44" s="314">
        <v>4</v>
      </c>
      <c r="R44" s="314">
        <v>3</v>
      </c>
      <c r="S44" s="314">
        <v>1</v>
      </c>
      <c r="T44" s="130" t="s">
        <v>251</v>
      </c>
      <c r="U44" s="99">
        <v>49</v>
      </c>
      <c r="V44" s="130">
        <v>20</v>
      </c>
      <c r="W44" s="281">
        <v>0</v>
      </c>
      <c r="X44" s="6"/>
      <c r="Y44" s="6"/>
      <c r="Z44" s="263"/>
      <c r="AA44" s="269" t="e">
        <f>IF(T44&amp;U44&amp;#REF! = "NNN","N",T44&amp;U44&amp;#REF!)</f>
        <v>#REF!</v>
      </c>
      <c r="AB44" s="269" t="e">
        <f>IF(#REF!&amp;#REF!&amp;#REF! = "NNN","N",#REF!&amp;#REF!&amp;#REF!)</f>
        <v>#REF!</v>
      </c>
      <c r="AC44" s="269" t="e">
        <f>IF(#REF!&amp;#REF!&amp;#REF! = "NNN","N",#REF!&amp;#REF!&amp;#REF!)</f>
        <v>#REF!</v>
      </c>
      <c r="AD44" s="269" t="e">
        <f>IF(#REF!&amp;#REF!= "NN","N",#REF!&amp;#REF!)</f>
        <v>#REF!</v>
      </c>
      <c r="AE44" s="268"/>
      <c r="AF44" s="268"/>
      <c r="AG44" s="255"/>
      <c r="AH44" s="6"/>
      <c r="AI44" s="6"/>
      <c r="AJ44" s="6"/>
      <c r="AK44" s="6">
        <f t="shared" si="0"/>
        <v>0</v>
      </c>
      <c r="AL44" s="6"/>
      <c r="AM44" s="6"/>
      <c r="AN44" s="6"/>
      <c r="AO44" s="6"/>
      <c r="AP44" s="6"/>
      <c r="AQ44" s="6"/>
    </row>
    <row r="45" spans="1:43" ht="12.75" customHeight="1">
      <c r="A45" s="12">
        <f>IF('СПИСОК КЛАССА'!J45&gt;0,1,0)</f>
        <v>1</v>
      </c>
      <c r="B45" s="226">
        <v>26</v>
      </c>
      <c r="C45" s="227">
        <f>IF(NOT(ISBLANK('СПИСОК КЛАССА'!C45)),'СПИСОК КЛАССА'!C45,"")</f>
        <v>26</v>
      </c>
      <c r="D45" s="131" t="str">
        <f>IF(NOT(ISBLANK('СПИСОК КЛАССА'!D45)),IF($A45=1,'СПИСОК КЛАССА'!D45, "УЧЕНИК НЕ ВЫПОЛНЯЛ РАБОТУ"),"")</f>
        <v/>
      </c>
      <c r="E45" s="313">
        <v>2</v>
      </c>
      <c r="F45" s="314">
        <v>1</v>
      </c>
      <c r="G45" s="314">
        <v>3</v>
      </c>
      <c r="H45" s="314">
        <v>1</v>
      </c>
      <c r="I45" s="314">
        <v>4</v>
      </c>
      <c r="J45" s="314">
        <v>3</v>
      </c>
      <c r="K45" s="314">
        <v>4</v>
      </c>
      <c r="L45" s="314">
        <v>1</v>
      </c>
      <c r="M45" s="314">
        <v>3</v>
      </c>
      <c r="N45" s="314">
        <v>1</v>
      </c>
      <c r="O45" s="314">
        <v>4</v>
      </c>
      <c r="P45" s="314">
        <v>2</v>
      </c>
      <c r="Q45" s="314">
        <v>1</v>
      </c>
      <c r="R45" s="314">
        <v>4</v>
      </c>
      <c r="S45" s="314">
        <v>2</v>
      </c>
      <c r="T45" s="130">
        <v>3</v>
      </c>
      <c r="U45" s="99">
        <v>2</v>
      </c>
      <c r="V45" s="130">
        <v>20</v>
      </c>
      <c r="W45" s="281">
        <v>0</v>
      </c>
      <c r="X45" s="6"/>
      <c r="Y45" s="6"/>
      <c r="Z45" s="263"/>
      <c r="AA45" s="269" t="e">
        <f>IF(T45&amp;U45&amp;#REF! = "NNN","N",T45&amp;U45&amp;#REF!)</f>
        <v>#REF!</v>
      </c>
      <c r="AB45" s="269" t="e">
        <f>IF(#REF!&amp;#REF!&amp;#REF! = "NNN","N",#REF!&amp;#REF!&amp;#REF!)</f>
        <v>#REF!</v>
      </c>
      <c r="AC45" s="269" t="e">
        <f>IF(#REF!&amp;#REF!&amp;#REF! = "NNN","N",#REF!&amp;#REF!&amp;#REF!)</f>
        <v>#REF!</v>
      </c>
      <c r="AD45" s="269" t="e">
        <f>IF(#REF!&amp;#REF!= "NN","N",#REF!&amp;#REF!)</f>
        <v>#REF!</v>
      </c>
      <c r="AE45" s="268"/>
      <c r="AF45" s="268"/>
      <c r="AG45" s="255"/>
      <c r="AH45" s="6"/>
      <c r="AI45" s="6"/>
      <c r="AJ45" s="6"/>
      <c r="AK45" s="6">
        <f t="shared" si="0"/>
        <v>0</v>
      </c>
      <c r="AL45" s="6"/>
      <c r="AM45" s="6"/>
      <c r="AN45" s="6"/>
      <c r="AO45" s="6"/>
      <c r="AP45" s="6"/>
      <c r="AQ45" s="6"/>
    </row>
    <row r="46" spans="1:43" ht="12.75" customHeight="1">
      <c r="A46" s="12">
        <f>IF('СПИСОК КЛАССА'!J46&gt;0,1,0)</f>
        <v>1</v>
      </c>
      <c r="B46" s="226">
        <v>27</v>
      </c>
      <c r="C46" s="227">
        <f>IF(NOT(ISBLANK('СПИСОК КЛАССА'!C46)),'СПИСОК КЛАССА'!C46,"")</f>
        <v>27</v>
      </c>
      <c r="D46" s="131" t="str">
        <f>IF(NOT(ISBLANK('СПИСОК КЛАССА'!D46)),IF($A46=1,'СПИСОК КЛАССА'!D46, "УЧЕНИК НЕ ВЫПОЛНЯЛ РАБОТУ"),"")</f>
        <v/>
      </c>
      <c r="E46" s="313">
        <v>2</v>
      </c>
      <c r="F46" s="314">
        <v>1</v>
      </c>
      <c r="G46" s="314">
        <v>3</v>
      </c>
      <c r="H46" s="314">
        <v>1</v>
      </c>
      <c r="I46" s="314">
        <v>4</v>
      </c>
      <c r="J46" s="314">
        <v>3</v>
      </c>
      <c r="K46" s="314">
        <v>4</v>
      </c>
      <c r="L46" s="314">
        <v>1</v>
      </c>
      <c r="M46" s="314">
        <v>3</v>
      </c>
      <c r="N46" s="314">
        <v>1</v>
      </c>
      <c r="O46" s="314">
        <v>4</v>
      </c>
      <c r="P46" s="314">
        <v>4</v>
      </c>
      <c r="Q46" s="314">
        <v>1</v>
      </c>
      <c r="R46" s="314">
        <v>4</v>
      </c>
      <c r="S46" s="314">
        <v>2</v>
      </c>
      <c r="T46" s="130">
        <v>3</v>
      </c>
      <c r="U46" s="99">
        <v>2</v>
      </c>
      <c r="V46" s="130">
        <v>20</v>
      </c>
      <c r="W46" s="281">
        <v>0</v>
      </c>
      <c r="X46" s="6"/>
      <c r="Y46" s="6"/>
      <c r="Z46" s="263"/>
      <c r="AA46" s="269" t="e">
        <f>IF(T46&amp;U46&amp;#REF! = "NNN","N",T46&amp;U46&amp;#REF!)</f>
        <v>#REF!</v>
      </c>
      <c r="AB46" s="269" t="e">
        <f>IF(#REF!&amp;#REF!&amp;#REF! = "NNN","N",#REF!&amp;#REF!&amp;#REF!)</f>
        <v>#REF!</v>
      </c>
      <c r="AC46" s="269" t="e">
        <f>IF(#REF!&amp;#REF!&amp;#REF! = "NNN","N",#REF!&amp;#REF!&amp;#REF!)</f>
        <v>#REF!</v>
      </c>
      <c r="AD46" s="269" t="e">
        <f>IF(#REF!&amp;#REF!= "NN","N",#REF!&amp;#REF!)</f>
        <v>#REF!</v>
      </c>
      <c r="AE46" s="268"/>
      <c r="AF46" s="268"/>
      <c r="AG46" s="255"/>
      <c r="AH46" s="6"/>
      <c r="AI46" s="6"/>
      <c r="AJ46" s="6"/>
      <c r="AK46" s="6">
        <f t="shared" si="0"/>
        <v>0</v>
      </c>
      <c r="AL46" s="6"/>
      <c r="AM46" s="6"/>
      <c r="AN46" s="6"/>
      <c r="AO46" s="6"/>
      <c r="AP46" s="6"/>
      <c r="AQ46" s="6"/>
    </row>
    <row r="47" spans="1:43" ht="12.75" customHeight="1">
      <c r="A47" s="12">
        <f>IF('СПИСОК КЛАССА'!J47&gt;0,1,0)</f>
        <v>0</v>
      </c>
      <c r="B47" s="226">
        <v>28</v>
      </c>
      <c r="C47" s="227" t="str">
        <f>IF(NOT(ISBLANK('СПИСОК КЛАССА'!C47)),'СПИСОК КЛАССА'!C47,"")</f>
        <v/>
      </c>
      <c r="D47" s="131" t="str">
        <f>IF(NOT(ISBLANK('СПИСОК КЛАССА'!D47)),IF($A47=1,'СПИСОК КЛАССА'!D47, "УЧЕНИК НЕ ВЫПОЛНЯЛ РАБОТУ"),"")</f>
        <v/>
      </c>
      <c r="E47" s="313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130"/>
      <c r="U47" s="99"/>
      <c r="V47" s="130"/>
      <c r="W47" s="281"/>
      <c r="X47" s="6"/>
      <c r="Y47" s="6"/>
      <c r="Z47" s="263"/>
      <c r="AA47" s="269" t="e">
        <f>IF(T47&amp;U47&amp;#REF! = "NNN","N",T47&amp;U47&amp;#REF!)</f>
        <v>#REF!</v>
      </c>
      <c r="AB47" s="269" t="e">
        <f>IF(#REF!&amp;#REF!&amp;#REF! = "NNN","N",#REF!&amp;#REF!&amp;#REF!)</f>
        <v>#REF!</v>
      </c>
      <c r="AC47" s="269" t="e">
        <f>IF(#REF!&amp;#REF!&amp;#REF! = "NNN","N",#REF!&amp;#REF!&amp;#REF!)</f>
        <v>#REF!</v>
      </c>
      <c r="AD47" s="269" t="e">
        <f>IF(#REF!&amp;#REF!= "NN","N",#REF!&amp;#REF!)</f>
        <v>#REF!</v>
      </c>
      <c r="AE47" s="268"/>
      <c r="AF47" s="268"/>
      <c r="AG47" s="255"/>
      <c r="AH47" s="6"/>
      <c r="AI47" s="6"/>
      <c r="AJ47" s="6"/>
      <c r="AK47" s="6">
        <f t="shared" si="0"/>
        <v>0</v>
      </c>
      <c r="AL47" s="6"/>
      <c r="AM47" s="6"/>
      <c r="AN47" s="6"/>
      <c r="AO47" s="6"/>
      <c r="AP47" s="6"/>
      <c r="AQ47" s="6"/>
    </row>
    <row r="48" spans="1:43" ht="12.75" customHeight="1">
      <c r="A48" s="12">
        <f>IF('СПИСОК КЛАССА'!J48&gt;0,1,0)</f>
        <v>0</v>
      </c>
      <c r="B48" s="226">
        <v>29</v>
      </c>
      <c r="C48" s="227" t="str">
        <f>IF(NOT(ISBLANK('СПИСОК КЛАССА'!C48)),'СПИСОК КЛАССА'!C48,"")</f>
        <v/>
      </c>
      <c r="D48" s="131" t="str">
        <f>IF(NOT(ISBLANK('СПИСОК КЛАССА'!D48)),IF($A48=1,'СПИСОК КЛАССА'!D48, "УЧЕНИК НЕ ВЫПОЛНЯЛ РАБОТУ"),"")</f>
        <v/>
      </c>
      <c r="E48" s="313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130"/>
      <c r="U48" s="99"/>
      <c r="V48" s="130"/>
      <c r="W48" s="281"/>
      <c r="X48" s="6"/>
      <c r="Y48" s="6"/>
      <c r="Z48" s="263"/>
      <c r="AA48" s="269" t="e">
        <f>IF(T48&amp;U48&amp;#REF! = "NNN","N",T48&amp;U48&amp;#REF!)</f>
        <v>#REF!</v>
      </c>
      <c r="AB48" s="269" t="e">
        <f>IF(#REF!&amp;#REF!&amp;#REF! = "NNN","N",#REF!&amp;#REF!&amp;#REF!)</f>
        <v>#REF!</v>
      </c>
      <c r="AC48" s="269" t="e">
        <f>IF(#REF!&amp;#REF!&amp;#REF! = "NNN","N",#REF!&amp;#REF!&amp;#REF!)</f>
        <v>#REF!</v>
      </c>
      <c r="AD48" s="269" t="e">
        <f>IF(#REF!&amp;#REF!= "NN","N",#REF!&amp;#REF!)</f>
        <v>#REF!</v>
      </c>
      <c r="AE48" s="268"/>
      <c r="AF48" s="268"/>
      <c r="AG48" s="255"/>
      <c r="AH48" s="6"/>
      <c r="AI48" s="6"/>
      <c r="AJ48" s="6"/>
      <c r="AK48" s="6">
        <f t="shared" si="0"/>
        <v>0</v>
      </c>
      <c r="AL48" s="6"/>
      <c r="AM48" s="6"/>
      <c r="AN48" s="6"/>
      <c r="AO48" s="6"/>
      <c r="AP48" s="6"/>
      <c r="AQ48" s="6"/>
    </row>
    <row r="49" spans="1:63" ht="12.75" customHeight="1">
      <c r="A49" s="12">
        <f>IF('СПИСОК КЛАССА'!J49&gt;0,1,0)</f>
        <v>0</v>
      </c>
      <c r="B49" s="226">
        <v>30</v>
      </c>
      <c r="C49" s="227" t="str">
        <f>IF(NOT(ISBLANK('СПИСОК КЛАССА'!C49)),'СПИСОК КЛАССА'!C49,"")</f>
        <v/>
      </c>
      <c r="D49" s="131" t="str">
        <f>IF(NOT(ISBLANK('СПИСОК КЛАССА'!D49)),IF($A49=1,'СПИСОК КЛАССА'!D49, "УЧЕНИК НЕ ВЫПОЛНЯЛ РАБОТУ"),"")</f>
        <v/>
      </c>
      <c r="E49" s="313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130"/>
      <c r="U49" s="99"/>
      <c r="V49" s="130"/>
      <c r="W49" s="281"/>
      <c r="X49" s="6"/>
      <c r="Y49" s="6"/>
      <c r="Z49" s="263"/>
      <c r="AA49" s="269" t="e">
        <f>IF(T49&amp;U49&amp;#REF! = "NNN","N",T49&amp;U49&amp;#REF!)</f>
        <v>#REF!</v>
      </c>
      <c r="AB49" s="269" t="e">
        <f>IF(#REF!&amp;#REF!&amp;#REF! = "NNN","N",#REF!&amp;#REF!&amp;#REF!)</f>
        <v>#REF!</v>
      </c>
      <c r="AC49" s="269" t="e">
        <f>IF(#REF!&amp;#REF!&amp;#REF! = "NNN","N",#REF!&amp;#REF!&amp;#REF!)</f>
        <v>#REF!</v>
      </c>
      <c r="AD49" s="269" t="e">
        <f>IF(#REF!&amp;#REF!= "NN","N",#REF!&amp;#REF!)</f>
        <v>#REF!</v>
      </c>
      <c r="AE49" s="268"/>
      <c r="AF49" s="268"/>
      <c r="AG49" s="255"/>
      <c r="AH49" s="6"/>
      <c r="AI49" s="6"/>
      <c r="AJ49" s="6"/>
      <c r="AK49" s="6">
        <f t="shared" si="0"/>
        <v>0</v>
      </c>
      <c r="AL49" s="6"/>
      <c r="AM49" s="6"/>
      <c r="AN49" s="6"/>
      <c r="AO49" s="6"/>
      <c r="AP49" s="6"/>
      <c r="AQ49" s="6"/>
    </row>
    <row r="50" spans="1:63" ht="12.75" customHeight="1">
      <c r="A50" s="12">
        <f>IF('СПИСОК КЛАССА'!J50&gt;0,1,0)</f>
        <v>0</v>
      </c>
      <c r="B50" s="226">
        <v>31</v>
      </c>
      <c r="C50" s="227" t="str">
        <f>IF(NOT(ISBLANK('СПИСОК КЛАССА'!C50)),'СПИСОК КЛАССА'!C50,"")</f>
        <v/>
      </c>
      <c r="D50" s="131" t="str">
        <f>IF(NOT(ISBLANK('СПИСОК КЛАССА'!D50)),IF($A50=1,'СПИСОК КЛАССА'!D50, "УЧЕНИК НЕ ВЫПОЛНЯЛ РАБОТУ"),"")</f>
        <v/>
      </c>
      <c r="E50" s="313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130"/>
      <c r="U50" s="99"/>
      <c r="V50" s="130"/>
      <c r="W50" s="281"/>
      <c r="X50" s="6"/>
      <c r="Y50" s="6"/>
      <c r="Z50" s="263"/>
      <c r="AA50" s="269" t="e">
        <f>IF(T50&amp;U50&amp;#REF! = "NNN","N",T50&amp;U50&amp;#REF!)</f>
        <v>#REF!</v>
      </c>
      <c r="AB50" s="269" t="e">
        <f>IF(#REF!&amp;#REF!&amp;#REF! = "NNN","N",#REF!&amp;#REF!&amp;#REF!)</f>
        <v>#REF!</v>
      </c>
      <c r="AC50" s="269" t="e">
        <f>IF(#REF!&amp;#REF!&amp;#REF! = "NNN","N",#REF!&amp;#REF!&amp;#REF!)</f>
        <v>#REF!</v>
      </c>
      <c r="AD50" s="269" t="e">
        <f>IF(#REF!&amp;#REF!= "NN","N",#REF!&amp;#REF!)</f>
        <v>#REF!</v>
      </c>
      <c r="AE50" s="268"/>
      <c r="AF50" s="268"/>
      <c r="AG50" s="255"/>
      <c r="AH50" s="6"/>
      <c r="AI50" s="6"/>
      <c r="AJ50" s="6"/>
      <c r="AK50" s="6">
        <f t="shared" si="0"/>
        <v>0</v>
      </c>
      <c r="AL50" s="6"/>
      <c r="AM50" s="6"/>
      <c r="AN50" s="6"/>
      <c r="AO50" s="6"/>
      <c r="AP50" s="6"/>
      <c r="AQ50" s="6"/>
    </row>
    <row r="51" spans="1:63" ht="12.75" customHeight="1">
      <c r="A51" s="12">
        <f>IF('СПИСОК КЛАССА'!J51&gt;0,1,0)</f>
        <v>0</v>
      </c>
      <c r="B51" s="226">
        <v>32</v>
      </c>
      <c r="C51" s="227" t="str">
        <f>IF(NOT(ISBLANK('СПИСОК КЛАССА'!C51)),'СПИСОК КЛАССА'!C51,"")</f>
        <v/>
      </c>
      <c r="D51" s="131" t="str">
        <f>IF(NOT(ISBLANK('СПИСОК КЛАССА'!D51)),IF($A51=1,'СПИСОК КЛАССА'!D51, "УЧЕНИК НЕ ВЫПОЛНЯЛ РАБОТУ"),"")</f>
        <v/>
      </c>
      <c r="E51" s="313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130"/>
      <c r="U51" s="99"/>
      <c r="V51" s="130"/>
      <c r="W51" s="281"/>
      <c r="X51" s="6"/>
      <c r="Y51" s="6"/>
      <c r="Z51" s="263"/>
      <c r="AA51" s="269" t="e">
        <f>IF(T51&amp;U51&amp;#REF! = "NNN","N",T51&amp;U51&amp;#REF!)</f>
        <v>#REF!</v>
      </c>
      <c r="AB51" s="269" t="e">
        <f>IF(#REF!&amp;#REF!&amp;#REF! = "NNN","N",#REF!&amp;#REF!&amp;#REF!)</f>
        <v>#REF!</v>
      </c>
      <c r="AC51" s="269" t="e">
        <f>IF(#REF!&amp;#REF!&amp;#REF! = "NNN","N",#REF!&amp;#REF!&amp;#REF!)</f>
        <v>#REF!</v>
      </c>
      <c r="AD51" s="269" t="e">
        <f>IF(#REF!&amp;#REF!= "NN","N",#REF!&amp;#REF!)</f>
        <v>#REF!</v>
      </c>
      <c r="AE51" s="268"/>
      <c r="AF51" s="268"/>
      <c r="AG51" s="255"/>
      <c r="AH51" s="6"/>
      <c r="AI51" s="6"/>
      <c r="AJ51" s="6"/>
      <c r="AK51" s="6">
        <f t="shared" si="0"/>
        <v>0</v>
      </c>
      <c r="AL51" s="6"/>
      <c r="AM51" s="6"/>
      <c r="AN51" s="6"/>
      <c r="AO51" s="6"/>
      <c r="AP51" s="6"/>
      <c r="AQ51" s="6"/>
    </row>
    <row r="52" spans="1:63" ht="12.75" customHeight="1">
      <c r="A52" s="12">
        <f>IF('СПИСОК КЛАССА'!J52&gt;0,1,0)</f>
        <v>0</v>
      </c>
      <c r="B52" s="226">
        <v>33</v>
      </c>
      <c r="C52" s="227" t="str">
        <f>IF(NOT(ISBLANK('СПИСОК КЛАССА'!C52)),'СПИСОК КЛАССА'!C52,"")</f>
        <v/>
      </c>
      <c r="D52" s="131" t="str">
        <f>IF(NOT(ISBLANK('СПИСОК КЛАССА'!D52)),IF($A52=1,'СПИСОК КЛАССА'!D52, "УЧЕНИК НЕ ВЫПОЛНЯЛ РАБОТУ"),"")</f>
        <v/>
      </c>
      <c r="E52" s="313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130"/>
      <c r="U52" s="99"/>
      <c r="V52" s="130"/>
      <c r="W52" s="281"/>
      <c r="X52" s="6"/>
      <c r="Y52" s="6"/>
      <c r="Z52" s="263"/>
      <c r="AA52" s="269" t="e">
        <f>IF(T52&amp;U52&amp;#REF! = "NNN","N",T52&amp;U52&amp;#REF!)</f>
        <v>#REF!</v>
      </c>
      <c r="AB52" s="269" t="e">
        <f>IF(#REF!&amp;#REF!&amp;#REF! = "NNN","N",#REF!&amp;#REF!&amp;#REF!)</f>
        <v>#REF!</v>
      </c>
      <c r="AC52" s="269" t="e">
        <f>IF(#REF!&amp;#REF!&amp;#REF! = "NNN","N",#REF!&amp;#REF!&amp;#REF!)</f>
        <v>#REF!</v>
      </c>
      <c r="AD52" s="269" t="e">
        <f>IF(#REF!&amp;#REF!= "NN","N",#REF!&amp;#REF!)</f>
        <v>#REF!</v>
      </c>
      <c r="AE52" s="268"/>
      <c r="AF52" s="268"/>
      <c r="AG52" s="255"/>
      <c r="AH52" s="6"/>
      <c r="AI52" s="6"/>
      <c r="AJ52" s="6"/>
      <c r="AK52" s="6">
        <f t="shared" si="0"/>
        <v>0</v>
      </c>
      <c r="AL52" s="6"/>
      <c r="AM52" s="6"/>
      <c r="AN52" s="6"/>
      <c r="AO52" s="6"/>
      <c r="AP52" s="6"/>
      <c r="AQ52" s="6"/>
    </row>
    <row r="53" spans="1:63" ht="12.75" customHeight="1">
      <c r="A53" s="12">
        <f>IF('СПИСОК КЛАССА'!J53&gt;0,1,0)</f>
        <v>0</v>
      </c>
      <c r="B53" s="226">
        <v>34</v>
      </c>
      <c r="C53" s="227" t="str">
        <f>IF(NOT(ISBLANK('СПИСОК КЛАССА'!C53)),'СПИСОК КЛАССА'!C53,"")</f>
        <v/>
      </c>
      <c r="D53" s="131" t="str">
        <f>IF(NOT(ISBLANK('СПИСОК КЛАССА'!D53)),IF($A53=1,'СПИСОК КЛАССА'!D53, "УЧЕНИК НЕ ВЫПОЛНЯЛ РАБОТУ"),"")</f>
        <v/>
      </c>
      <c r="E53" s="313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130"/>
      <c r="U53" s="99"/>
      <c r="V53" s="130"/>
      <c r="W53" s="281"/>
      <c r="X53" s="6"/>
      <c r="Y53" s="6"/>
      <c r="Z53" s="263"/>
      <c r="AA53" s="269" t="e">
        <f>IF(T53&amp;U53&amp;#REF! = "NNN","N",T53&amp;U53&amp;#REF!)</f>
        <v>#REF!</v>
      </c>
      <c r="AB53" s="269" t="e">
        <f>IF(#REF!&amp;#REF!&amp;#REF! = "NNN","N",#REF!&amp;#REF!&amp;#REF!)</f>
        <v>#REF!</v>
      </c>
      <c r="AC53" s="269" t="e">
        <f>IF(#REF!&amp;#REF!&amp;#REF! = "NNN","N",#REF!&amp;#REF!&amp;#REF!)</f>
        <v>#REF!</v>
      </c>
      <c r="AD53" s="269" t="e">
        <f>IF(#REF!&amp;#REF!= "NN","N",#REF!&amp;#REF!)</f>
        <v>#REF!</v>
      </c>
      <c r="AE53" s="268"/>
      <c r="AF53" s="268"/>
      <c r="AG53" s="255"/>
      <c r="AH53" s="6"/>
      <c r="AI53" s="6"/>
      <c r="AJ53" s="6"/>
      <c r="AK53" s="6">
        <f t="shared" si="0"/>
        <v>0</v>
      </c>
      <c r="AL53" s="6"/>
      <c r="AM53" s="6"/>
      <c r="AN53" s="6"/>
      <c r="AO53" s="6"/>
      <c r="AP53" s="6"/>
      <c r="AQ53" s="6"/>
    </row>
    <row r="54" spans="1:63" ht="12.75" customHeight="1">
      <c r="A54" s="12">
        <f>IF('СПИСОК КЛАССА'!J54&gt;0,1,0)</f>
        <v>0</v>
      </c>
      <c r="B54" s="226">
        <v>35</v>
      </c>
      <c r="C54" s="227" t="str">
        <f>IF(NOT(ISBLANK('СПИСОК КЛАССА'!C54)),'СПИСОК КЛАССА'!C54,"")</f>
        <v/>
      </c>
      <c r="D54" s="131" t="str">
        <f>IF(NOT(ISBLANK('СПИСОК КЛАССА'!D54)),IF($A54=1,'СПИСОК КЛАССА'!D54, "УЧЕНИК НЕ ВЫПОЛНЯЛ РАБОТУ"),"")</f>
        <v/>
      </c>
      <c r="E54" s="313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130"/>
      <c r="U54" s="99"/>
      <c r="V54" s="130"/>
      <c r="W54" s="281"/>
      <c r="X54" s="6"/>
      <c r="Y54" s="6"/>
      <c r="Z54" s="263"/>
      <c r="AA54" s="269" t="e">
        <f>IF(T54&amp;U54&amp;#REF! = "NNN","N",T54&amp;U54&amp;#REF!)</f>
        <v>#REF!</v>
      </c>
      <c r="AB54" s="269" t="e">
        <f>IF(#REF!&amp;#REF!&amp;#REF! = "NNN","N",#REF!&amp;#REF!&amp;#REF!)</f>
        <v>#REF!</v>
      </c>
      <c r="AC54" s="269" t="e">
        <f>IF(#REF!&amp;#REF!&amp;#REF! = "NNN","N",#REF!&amp;#REF!&amp;#REF!)</f>
        <v>#REF!</v>
      </c>
      <c r="AD54" s="269" t="e">
        <f>IF(#REF!&amp;#REF!= "NN","N",#REF!&amp;#REF!)</f>
        <v>#REF!</v>
      </c>
      <c r="AE54" s="268"/>
      <c r="AF54" s="268"/>
      <c r="AG54" s="255"/>
      <c r="AH54" s="6"/>
      <c r="AI54" s="6"/>
      <c r="AJ54" s="6"/>
      <c r="AK54" s="6">
        <f t="shared" si="0"/>
        <v>0</v>
      </c>
      <c r="AL54" s="6"/>
      <c r="AM54" s="6"/>
      <c r="AN54" s="6"/>
      <c r="AO54" s="6"/>
      <c r="AP54" s="6"/>
      <c r="AQ54" s="6"/>
    </row>
    <row r="55" spans="1:63" ht="12.75" customHeight="1">
      <c r="A55" s="12">
        <f>IF('СПИСОК КЛАССА'!J55&gt;0,1,0)</f>
        <v>0</v>
      </c>
      <c r="B55" s="226">
        <v>36</v>
      </c>
      <c r="C55" s="227" t="str">
        <f>IF(NOT(ISBLANK('СПИСОК КЛАССА'!C55)),'СПИСОК КЛАССА'!C55,"")</f>
        <v/>
      </c>
      <c r="D55" s="131" t="str">
        <f>IF(NOT(ISBLANK('СПИСОК КЛАССА'!D55)),IF($A55=1,'СПИСОК КЛАССА'!D55, "УЧЕНИК НЕ ВЫПОЛНЯЛ РАБОТУ"),"")</f>
        <v/>
      </c>
      <c r="E55" s="313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130"/>
      <c r="U55" s="99"/>
      <c r="V55" s="130"/>
      <c r="W55" s="281"/>
      <c r="X55" s="6"/>
      <c r="Y55" s="6"/>
      <c r="Z55" s="263"/>
      <c r="AA55" s="269" t="e">
        <f>IF(T55&amp;U55&amp;#REF! = "NNN","N",T55&amp;U55&amp;#REF!)</f>
        <v>#REF!</v>
      </c>
      <c r="AB55" s="269" t="e">
        <f>IF(#REF!&amp;#REF!&amp;#REF! = "NNN","N",#REF!&amp;#REF!&amp;#REF!)</f>
        <v>#REF!</v>
      </c>
      <c r="AC55" s="269" t="e">
        <f>IF(#REF!&amp;#REF!&amp;#REF! = "NNN","N",#REF!&amp;#REF!&amp;#REF!)</f>
        <v>#REF!</v>
      </c>
      <c r="AD55" s="269" t="e">
        <f>IF(#REF!&amp;#REF!= "NN","N",#REF!&amp;#REF!)</f>
        <v>#REF!</v>
      </c>
      <c r="AE55" s="268"/>
      <c r="AF55" s="268"/>
      <c r="AG55" s="255"/>
      <c r="AH55" s="6"/>
      <c r="AI55" s="6"/>
      <c r="AJ55" s="6"/>
      <c r="AK55" s="6">
        <f t="shared" si="0"/>
        <v>0</v>
      </c>
      <c r="AL55" s="6"/>
      <c r="AM55" s="6"/>
      <c r="AN55" s="6"/>
      <c r="AO55" s="6"/>
      <c r="AP55" s="6"/>
      <c r="AQ55" s="6"/>
    </row>
    <row r="56" spans="1:63" ht="12.75" customHeight="1">
      <c r="A56" s="12">
        <f>IF('СПИСОК КЛАССА'!J56&gt;0,1,0)</f>
        <v>0</v>
      </c>
      <c r="B56" s="226">
        <v>37</v>
      </c>
      <c r="C56" s="227" t="str">
        <f>IF(NOT(ISBLANK('СПИСОК КЛАССА'!C56)),'СПИСОК КЛАССА'!C56,"")</f>
        <v/>
      </c>
      <c r="D56" s="131" t="str">
        <f>IF(NOT(ISBLANK('СПИСОК КЛАССА'!D56)),IF($A56=1,'СПИСОК КЛАССА'!D56, "УЧЕНИК НЕ ВЫПОЛНЯЛ РАБОТУ"),"")</f>
        <v/>
      </c>
      <c r="E56" s="313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130"/>
      <c r="U56" s="99"/>
      <c r="V56" s="130"/>
      <c r="W56" s="281"/>
      <c r="X56" s="6"/>
      <c r="Y56" s="6"/>
      <c r="Z56" s="263"/>
      <c r="AA56" s="269" t="e">
        <f>IF(T56&amp;U56&amp;#REF! = "NNN","N",T56&amp;U56&amp;#REF!)</f>
        <v>#REF!</v>
      </c>
      <c r="AB56" s="269" t="e">
        <f>IF(#REF!&amp;#REF!&amp;#REF! = "NNN","N",#REF!&amp;#REF!&amp;#REF!)</f>
        <v>#REF!</v>
      </c>
      <c r="AC56" s="269" t="e">
        <f>IF(#REF!&amp;#REF!&amp;#REF! = "NNN","N",#REF!&amp;#REF!&amp;#REF!)</f>
        <v>#REF!</v>
      </c>
      <c r="AD56" s="269" t="e">
        <f>IF(#REF!&amp;#REF!= "NN","N",#REF!&amp;#REF!)</f>
        <v>#REF!</v>
      </c>
      <c r="AE56" s="268"/>
      <c r="AF56" s="268"/>
      <c r="AG56" s="255"/>
      <c r="AH56" s="6"/>
      <c r="AI56" s="6"/>
      <c r="AJ56" s="6"/>
      <c r="AK56" s="6">
        <f t="shared" si="0"/>
        <v>0</v>
      </c>
      <c r="AL56" s="6"/>
      <c r="AM56" s="6"/>
      <c r="AN56" s="6"/>
      <c r="AO56" s="6"/>
      <c r="AP56" s="6"/>
      <c r="AQ56" s="6"/>
    </row>
    <row r="57" spans="1:63" ht="12.75" customHeight="1">
      <c r="A57" s="12">
        <f>IF('СПИСОК КЛАССА'!J57&gt;0,1,0)</f>
        <v>0</v>
      </c>
      <c r="B57" s="226">
        <v>38</v>
      </c>
      <c r="C57" s="227" t="str">
        <f>IF(NOT(ISBLANK('СПИСОК КЛАССА'!C57)),'СПИСОК КЛАССА'!C57,"")</f>
        <v/>
      </c>
      <c r="D57" s="131" t="str">
        <f>IF(NOT(ISBLANK('СПИСОК КЛАССА'!D57)),IF($A57=1,'СПИСОК КЛАССА'!D57, "УЧЕНИК НЕ ВЫПОЛНЯЛ РАБОТУ"),"")</f>
        <v/>
      </c>
      <c r="E57" s="313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130"/>
      <c r="U57" s="99"/>
      <c r="V57" s="130"/>
      <c r="W57" s="281"/>
      <c r="X57" s="6"/>
      <c r="Y57" s="6"/>
      <c r="Z57" s="263"/>
      <c r="AA57" s="269" t="e">
        <f>IF(T57&amp;U57&amp;#REF! = "NNN","N",T57&amp;U57&amp;#REF!)</f>
        <v>#REF!</v>
      </c>
      <c r="AB57" s="269" t="e">
        <f>IF(#REF!&amp;#REF!&amp;#REF! = "NNN","N",#REF!&amp;#REF!&amp;#REF!)</f>
        <v>#REF!</v>
      </c>
      <c r="AC57" s="269" t="e">
        <f>IF(#REF!&amp;#REF!&amp;#REF! = "NNN","N",#REF!&amp;#REF!&amp;#REF!)</f>
        <v>#REF!</v>
      </c>
      <c r="AD57" s="269" t="e">
        <f>IF(#REF!&amp;#REF!= "NN","N",#REF!&amp;#REF!)</f>
        <v>#REF!</v>
      </c>
      <c r="AE57" s="268"/>
      <c r="AF57" s="268"/>
      <c r="AG57" s="255"/>
      <c r="AH57" s="6"/>
      <c r="AI57" s="6"/>
      <c r="AJ57" s="6"/>
      <c r="AK57" s="6">
        <f t="shared" si="0"/>
        <v>0</v>
      </c>
      <c r="AL57" s="6"/>
      <c r="AM57" s="6"/>
      <c r="AN57" s="6"/>
      <c r="AO57" s="6"/>
      <c r="AP57" s="6"/>
      <c r="AQ57" s="6"/>
    </row>
    <row r="58" spans="1:63" ht="12.75" customHeight="1">
      <c r="A58" s="12">
        <f>IF('СПИСОК КЛАССА'!J58&gt;0,1,0)</f>
        <v>0</v>
      </c>
      <c r="B58" s="226">
        <v>39</v>
      </c>
      <c r="C58" s="227" t="str">
        <f>IF(NOT(ISBLANK('СПИСОК КЛАССА'!C58)),'СПИСОК КЛАССА'!C58,"")</f>
        <v/>
      </c>
      <c r="D58" s="131" t="str">
        <f>IF(NOT(ISBLANK('СПИСОК КЛАССА'!D58)),IF($A58=1,'СПИСОК КЛАССА'!D58, "УЧЕНИК НЕ ВЫПОЛНЯЛ РАБОТУ"),"")</f>
        <v/>
      </c>
      <c r="E58" s="313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130"/>
      <c r="U58" s="99"/>
      <c r="V58" s="130"/>
      <c r="W58" s="281"/>
      <c r="X58" s="6"/>
      <c r="Y58" s="6"/>
      <c r="Z58" s="263"/>
      <c r="AA58" s="269" t="e">
        <f>IF(T58&amp;U58&amp;#REF! = "NNN","N",T58&amp;U58&amp;#REF!)</f>
        <v>#REF!</v>
      </c>
      <c r="AB58" s="269" t="e">
        <f>IF(#REF!&amp;#REF!&amp;#REF! = "NNN","N",#REF!&amp;#REF!&amp;#REF!)</f>
        <v>#REF!</v>
      </c>
      <c r="AC58" s="269" t="e">
        <f>IF(#REF!&amp;#REF!&amp;#REF! = "NNN","N",#REF!&amp;#REF!&amp;#REF!)</f>
        <v>#REF!</v>
      </c>
      <c r="AD58" s="269" t="e">
        <f>IF(#REF!&amp;#REF!= "NN","N",#REF!&amp;#REF!)</f>
        <v>#REF!</v>
      </c>
      <c r="AE58" s="268"/>
      <c r="AF58" s="268"/>
      <c r="AG58" s="255"/>
      <c r="AH58" s="6"/>
      <c r="AI58" s="6"/>
      <c r="AJ58" s="6"/>
      <c r="AK58" s="6">
        <f t="shared" si="0"/>
        <v>0</v>
      </c>
      <c r="AL58" s="6"/>
      <c r="AM58" s="6"/>
      <c r="AN58" s="6"/>
      <c r="AO58" s="6"/>
      <c r="AP58" s="6"/>
      <c r="AQ58" s="6"/>
    </row>
    <row r="59" spans="1:63" ht="12.75" customHeight="1">
      <c r="A59" s="12">
        <f>IF('СПИСОК КЛАССА'!J59&gt;0,1,0)</f>
        <v>0</v>
      </c>
      <c r="B59" s="226">
        <v>40</v>
      </c>
      <c r="C59" s="227" t="str">
        <f>IF(NOT(ISBLANK('СПИСОК КЛАССА'!C59)),'СПИСОК КЛАССА'!C59,"")</f>
        <v/>
      </c>
      <c r="D59" s="131" t="str">
        <f>IF(NOT(ISBLANK('СПИСОК КЛАССА'!D59)),IF($A59=1,'СПИСОК КЛАССА'!D59, "УЧЕНИК НЕ ВЫПОЛНЯЛ РАБОТУ"),"")</f>
        <v/>
      </c>
      <c r="E59" s="313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130"/>
      <c r="U59" s="99"/>
      <c r="V59" s="130"/>
      <c r="W59" s="281"/>
      <c r="X59" s="6"/>
      <c r="Y59" s="6"/>
      <c r="Z59" s="263"/>
      <c r="AA59" s="269" t="e">
        <f>IF(T59&amp;U59&amp;#REF! = "NNN","N",T59&amp;U59&amp;#REF!)</f>
        <v>#REF!</v>
      </c>
      <c r="AB59" s="269" t="e">
        <f>IF(#REF!&amp;#REF!&amp;#REF! = "NNN","N",#REF!&amp;#REF!&amp;#REF!)</f>
        <v>#REF!</v>
      </c>
      <c r="AC59" s="269" t="e">
        <f>IF(#REF!&amp;#REF!&amp;#REF! = "NNN","N",#REF!&amp;#REF!&amp;#REF!)</f>
        <v>#REF!</v>
      </c>
      <c r="AD59" s="269" t="e">
        <f>IF(#REF!&amp;#REF!= "NN","N",#REF!&amp;#REF!)</f>
        <v>#REF!</v>
      </c>
      <c r="AE59" s="268"/>
      <c r="AF59" s="268"/>
      <c r="AG59" s="255"/>
      <c r="AH59" s="6"/>
      <c r="AI59" s="6"/>
      <c r="AJ59" s="6"/>
      <c r="AK59" s="6">
        <f t="shared" si="0"/>
        <v>0</v>
      </c>
      <c r="AL59" s="6"/>
      <c r="AM59" s="6"/>
      <c r="AN59" s="6"/>
      <c r="AO59" s="6"/>
      <c r="AP59" s="6"/>
      <c r="AQ59" s="6"/>
    </row>
    <row r="60" spans="1:6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64"/>
      <c r="AB60" s="264"/>
      <c r="AC60" s="264"/>
      <c r="AD60" s="264"/>
      <c r="AE60" s="264"/>
      <c r="AF60" s="264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64"/>
      <c r="AB61" s="264"/>
      <c r="AC61" s="264"/>
      <c r="AD61" s="264"/>
      <c r="AE61" s="264"/>
      <c r="AF61" s="264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64"/>
      <c r="AB62" s="264"/>
      <c r="AC62" s="264"/>
      <c r="AD62" s="264"/>
      <c r="AE62" s="264"/>
      <c r="AF62" s="264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64"/>
      <c r="AB63" s="264"/>
      <c r="AC63" s="264"/>
      <c r="AD63" s="264"/>
      <c r="AE63" s="264"/>
      <c r="AF63" s="264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64"/>
      <c r="AB64" s="264"/>
      <c r="AC64" s="264"/>
      <c r="AD64" s="264"/>
      <c r="AE64" s="264"/>
      <c r="AF64" s="264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64"/>
      <c r="AB65" s="264"/>
      <c r="AC65" s="264"/>
      <c r="AD65" s="264"/>
      <c r="AE65" s="264"/>
      <c r="AF65" s="264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64"/>
      <c r="AB66" s="264"/>
      <c r="AC66" s="264"/>
      <c r="AD66" s="264"/>
      <c r="AE66" s="264"/>
      <c r="AF66" s="264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64"/>
      <c r="AB67" s="264"/>
      <c r="AC67" s="264"/>
      <c r="AD67" s="264"/>
      <c r="AE67" s="264"/>
      <c r="AF67" s="264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64"/>
      <c r="AB68" s="264"/>
      <c r="AC68" s="264"/>
      <c r="AD68" s="264"/>
      <c r="AE68" s="264"/>
      <c r="AF68" s="264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64"/>
      <c r="AB69" s="264"/>
      <c r="AC69" s="264"/>
      <c r="AD69" s="264"/>
      <c r="AE69" s="264"/>
      <c r="AF69" s="264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64"/>
      <c r="AB70" s="264"/>
      <c r="AC70" s="264"/>
      <c r="AD70" s="264"/>
      <c r="AE70" s="264"/>
      <c r="AF70" s="264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64"/>
      <c r="AB71" s="264"/>
      <c r="AC71" s="264"/>
      <c r="AD71" s="264"/>
      <c r="AE71" s="264"/>
      <c r="AF71" s="264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64"/>
      <c r="AB72" s="264"/>
      <c r="AC72" s="264"/>
      <c r="AD72" s="264"/>
      <c r="AE72" s="264"/>
      <c r="AF72" s="264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64"/>
      <c r="AB73" s="264"/>
      <c r="AC73" s="264"/>
      <c r="AD73" s="264"/>
      <c r="AE73" s="264"/>
      <c r="AF73" s="264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64"/>
      <c r="AB74" s="264"/>
      <c r="AC74" s="264"/>
      <c r="AD74" s="264"/>
      <c r="AE74" s="264"/>
      <c r="AF74" s="264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64"/>
      <c r="AB75" s="264"/>
      <c r="AC75" s="264"/>
      <c r="AD75" s="264"/>
      <c r="AE75" s="264"/>
      <c r="AF75" s="264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64"/>
      <c r="AB76" s="264"/>
      <c r="AC76" s="264"/>
      <c r="AD76" s="264"/>
      <c r="AE76" s="264"/>
      <c r="AF76" s="264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64"/>
      <c r="AB77" s="264"/>
      <c r="AC77" s="264"/>
      <c r="AD77" s="264"/>
      <c r="AE77" s="264"/>
      <c r="AF77" s="264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64"/>
      <c r="AB78" s="264"/>
      <c r="AC78" s="264"/>
      <c r="AD78" s="264"/>
      <c r="AE78" s="264"/>
      <c r="AF78" s="264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264"/>
      <c r="AB79" s="264"/>
      <c r="AC79" s="264"/>
      <c r="AD79" s="264"/>
      <c r="AE79" s="264"/>
      <c r="AF79" s="264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264"/>
      <c r="AB80" s="264"/>
      <c r="AC80" s="264"/>
      <c r="AD80" s="264"/>
      <c r="AE80" s="264"/>
      <c r="AF80" s="264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264"/>
      <c r="AB81" s="264"/>
      <c r="AC81" s="264"/>
      <c r="AD81" s="264"/>
      <c r="AE81" s="264"/>
      <c r="AF81" s="264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264"/>
      <c r="AB82" s="264"/>
      <c r="AC82" s="264"/>
      <c r="AD82" s="264"/>
      <c r="AE82" s="264"/>
      <c r="AF82" s="264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264"/>
      <c r="AB83" s="264"/>
      <c r="AC83" s="264"/>
      <c r="AD83" s="264"/>
      <c r="AE83" s="264"/>
      <c r="AF83" s="264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264"/>
      <c r="AB84" s="264"/>
      <c r="AC84" s="264"/>
      <c r="AD84" s="264"/>
      <c r="AE84" s="264"/>
      <c r="AF84" s="264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64"/>
      <c r="AB85" s="264"/>
      <c r="AC85" s="264"/>
      <c r="AD85" s="264"/>
      <c r="AE85" s="264"/>
      <c r="AF85" s="264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64"/>
      <c r="AB86" s="264"/>
      <c r="AC86" s="264"/>
      <c r="AD86" s="264"/>
      <c r="AE86" s="264"/>
      <c r="AF86" s="264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64"/>
      <c r="AB87" s="264"/>
      <c r="AC87" s="264"/>
      <c r="AD87" s="264"/>
      <c r="AE87" s="264"/>
      <c r="AF87" s="264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64"/>
      <c r="AB88" s="264"/>
      <c r="AC88" s="264"/>
      <c r="AD88" s="264"/>
      <c r="AE88" s="264"/>
      <c r="AF88" s="264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264"/>
      <c r="AB89" s="264"/>
      <c r="AC89" s="264"/>
      <c r="AD89" s="264"/>
      <c r="AE89" s="264"/>
      <c r="AF89" s="264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264"/>
      <c r="AB90" s="264"/>
      <c r="AC90" s="264"/>
      <c r="AD90" s="264"/>
      <c r="AE90" s="264"/>
      <c r="AF90" s="264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64"/>
      <c r="AB91" s="264"/>
      <c r="AC91" s="264"/>
      <c r="AD91" s="264"/>
      <c r="AE91" s="264"/>
      <c r="AF91" s="264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64"/>
      <c r="AB92" s="264"/>
      <c r="AC92" s="264"/>
      <c r="AD92" s="264"/>
      <c r="AE92" s="264"/>
      <c r="AF92" s="264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64"/>
      <c r="AB93" s="264"/>
      <c r="AC93" s="264"/>
      <c r="AD93" s="264"/>
      <c r="AE93" s="264"/>
      <c r="AF93" s="264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64"/>
      <c r="AB94" s="264"/>
      <c r="AC94" s="264"/>
      <c r="AD94" s="264"/>
      <c r="AE94" s="264"/>
      <c r="AF94" s="264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264"/>
      <c r="AB95" s="264"/>
      <c r="AC95" s="264"/>
      <c r="AD95" s="264"/>
      <c r="AE95" s="264"/>
      <c r="AF95" s="264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64"/>
      <c r="AB96" s="264"/>
      <c r="AC96" s="264"/>
      <c r="AD96" s="264"/>
      <c r="AE96" s="264"/>
      <c r="AF96" s="264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64"/>
      <c r="AB97" s="264"/>
      <c r="AC97" s="264"/>
      <c r="AD97" s="264"/>
      <c r="AE97" s="264"/>
      <c r="AF97" s="264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264"/>
      <c r="AB98" s="264"/>
      <c r="AC98" s="264"/>
      <c r="AD98" s="264"/>
      <c r="AE98" s="264"/>
      <c r="AF98" s="264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264"/>
      <c r="AB99" s="264"/>
      <c r="AC99" s="264"/>
      <c r="AD99" s="264"/>
      <c r="AE99" s="264"/>
      <c r="AF99" s="264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264"/>
      <c r="AB100" s="264"/>
      <c r="AC100" s="264"/>
      <c r="AD100" s="264"/>
      <c r="AE100" s="264"/>
      <c r="AF100" s="264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64"/>
      <c r="AB101" s="264"/>
      <c r="AC101" s="264"/>
      <c r="AD101" s="264"/>
      <c r="AE101" s="264"/>
      <c r="AF101" s="264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64"/>
      <c r="AB102" s="264"/>
      <c r="AC102" s="264"/>
      <c r="AD102" s="264"/>
      <c r="AE102" s="264"/>
      <c r="AF102" s="264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64"/>
      <c r="AB103" s="264"/>
      <c r="AC103" s="264"/>
      <c r="AD103" s="264"/>
      <c r="AE103" s="264"/>
      <c r="AF103" s="264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64"/>
      <c r="AB104" s="264"/>
      <c r="AC104" s="264"/>
      <c r="AD104" s="264"/>
      <c r="AE104" s="264"/>
      <c r="AF104" s="264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64"/>
      <c r="AB105" s="264"/>
      <c r="AC105" s="264"/>
      <c r="AD105" s="264"/>
      <c r="AE105" s="264"/>
      <c r="AF105" s="264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64"/>
      <c r="AB106" s="264"/>
      <c r="AC106" s="264"/>
      <c r="AD106" s="264"/>
      <c r="AE106" s="264"/>
      <c r="AF106" s="264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64"/>
      <c r="AB107" s="264"/>
      <c r="AC107" s="264"/>
      <c r="AD107" s="264"/>
      <c r="AE107" s="264"/>
      <c r="AF107" s="264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64"/>
      <c r="AB108" s="264"/>
      <c r="AC108" s="264"/>
      <c r="AD108" s="264"/>
      <c r="AE108" s="264"/>
      <c r="AF108" s="264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64"/>
      <c r="AB109" s="264"/>
      <c r="AC109" s="264"/>
      <c r="AD109" s="264"/>
      <c r="AE109" s="264"/>
      <c r="AF109" s="264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64"/>
      <c r="AB110" s="264"/>
      <c r="AC110" s="264"/>
      <c r="AD110" s="264"/>
      <c r="AE110" s="264"/>
      <c r="AF110" s="264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64"/>
      <c r="AB111" s="264"/>
      <c r="AC111" s="264"/>
      <c r="AD111" s="264"/>
      <c r="AE111" s="264"/>
      <c r="AF111" s="264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64"/>
      <c r="AB112" s="264"/>
      <c r="AC112" s="264"/>
      <c r="AD112" s="264"/>
      <c r="AE112" s="264"/>
      <c r="AF112" s="264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264"/>
      <c r="AB113" s="264"/>
      <c r="AC113" s="264"/>
      <c r="AD113" s="264"/>
      <c r="AE113" s="264"/>
      <c r="AF113" s="264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264"/>
      <c r="AB114" s="264"/>
      <c r="AC114" s="264"/>
      <c r="AD114" s="264"/>
      <c r="AE114" s="264"/>
      <c r="AF114" s="264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264"/>
      <c r="AB115" s="264"/>
      <c r="AC115" s="264"/>
      <c r="AD115" s="264"/>
      <c r="AE115" s="264"/>
      <c r="AF115" s="264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264"/>
      <c r="AB116" s="264"/>
      <c r="AC116" s="264"/>
      <c r="AD116" s="264"/>
      <c r="AE116" s="264"/>
      <c r="AF116" s="264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264"/>
      <c r="AB117" s="264"/>
      <c r="AC117" s="264"/>
      <c r="AD117" s="264"/>
      <c r="AE117" s="264"/>
      <c r="AF117" s="264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264"/>
      <c r="AB118" s="264"/>
      <c r="AC118" s="264"/>
      <c r="AD118" s="264"/>
      <c r="AE118" s="264"/>
      <c r="AF118" s="264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264"/>
      <c r="AB119" s="264"/>
      <c r="AC119" s="264"/>
      <c r="AD119" s="264"/>
      <c r="AE119" s="264"/>
      <c r="AF119" s="264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264"/>
      <c r="AB120" s="264"/>
      <c r="AC120" s="264"/>
      <c r="AD120" s="264"/>
      <c r="AE120" s="264"/>
      <c r="AF120" s="264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264"/>
      <c r="AB121" s="264"/>
      <c r="AC121" s="264"/>
      <c r="AD121" s="264"/>
      <c r="AE121" s="264"/>
      <c r="AF121" s="264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264"/>
      <c r="AB122" s="264"/>
      <c r="AC122" s="264"/>
      <c r="AD122" s="264"/>
      <c r="AE122" s="264"/>
      <c r="AF122" s="264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64"/>
      <c r="AB123" s="264"/>
      <c r="AC123" s="264"/>
      <c r="AD123" s="264"/>
      <c r="AE123" s="264"/>
      <c r="AF123" s="264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64"/>
      <c r="AB124" s="264"/>
      <c r="AC124" s="264"/>
      <c r="AD124" s="264"/>
      <c r="AE124" s="264"/>
      <c r="AF124" s="264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64"/>
      <c r="AB125" s="264"/>
      <c r="AC125" s="264"/>
      <c r="AD125" s="264"/>
      <c r="AE125" s="264"/>
      <c r="AF125" s="264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64"/>
      <c r="AB126" s="264"/>
      <c r="AC126" s="264"/>
      <c r="AD126" s="264"/>
      <c r="AE126" s="264"/>
      <c r="AF126" s="264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64"/>
      <c r="AB127" s="264"/>
      <c r="AC127" s="264"/>
      <c r="AD127" s="264"/>
      <c r="AE127" s="264"/>
      <c r="AF127" s="264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64"/>
      <c r="AB128" s="264"/>
      <c r="AC128" s="264"/>
      <c r="AD128" s="264"/>
      <c r="AE128" s="264"/>
      <c r="AF128" s="264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64"/>
      <c r="AB129" s="264"/>
      <c r="AC129" s="264"/>
      <c r="AD129" s="264"/>
      <c r="AE129" s="264"/>
      <c r="AF129" s="264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64"/>
      <c r="AB130" s="264"/>
      <c r="AC130" s="264"/>
      <c r="AD130" s="264"/>
      <c r="AE130" s="264"/>
      <c r="AF130" s="264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64"/>
      <c r="AB131" s="264"/>
      <c r="AC131" s="264"/>
      <c r="AD131" s="264"/>
      <c r="AE131" s="264"/>
      <c r="AF131" s="264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64"/>
      <c r="AB132" s="264"/>
      <c r="AC132" s="264"/>
      <c r="AD132" s="264"/>
      <c r="AE132" s="264"/>
      <c r="AF132" s="264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64"/>
      <c r="AB133" s="264"/>
      <c r="AC133" s="264"/>
      <c r="AD133" s="264"/>
      <c r="AE133" s="264"/>
      <c r="AF133" s="264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264"/>
      <c r="AB134" s="264"/>
      <c r="AC134" s="264"/>
      <c r="AD134" s="264"/>
      <c r="AE134" s="264"/>
      <c r="AF134" s="264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264"/>
      <c r="AB135" s="264"/>
      <c r="AC135" s="264"/>
      <c r="AD135" s="264"/>
      <c r="AE135" s="264"/>
      <c r="AF135" s="264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264"/>
      <c r="AB136" s="264"/>
      <c r="AC136" s="264"/>
      <c r="AD136" s="264"/>
      <c r="AE136" s="264"/>
      <c r="AF136" s="264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64"/>
      <c r="AB137" s="264"/>
      <c r="AC137" s="264"/>
      <c r="AD137" s="264"/>
      <c r="AE137" s="264"/>
      <c r="AF137" s="264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64"/>
      <c r="AB138" s="264"/>
      <c r="AC138" s="264"/>
      <c r="AD138" s="264"/>
      <c r="AE138" s="264"/>
      <c r="AF138" s="264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264"/>
      <c r="AB139" s="264"/>
      <c r="AC139" s="264"/>
      <c r="AD139" s="264"/>
      <c r="AE139" s="264"/>
      <c r="AF139" s="264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264"/>
      <c r="AB140" s="264"/>
      <c r="AC140" s="264"/>
      <c r="AD140" s="264"/>
      <c r="AE140" s="264"/>
      <c r="AF140" s="264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64"/>
      <c r="AB141" s="264"/>
      <c r="AC141" s="264"/>
      <c r="AD141" s="264"/>
      <c r="AE141" s="264"/>
      <c r="AF141" s="264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64"/>
      <c r="AB142" s="264"/>
      <c r="AC142" s="264"/>
      <c r="AD142" s="264"/>
      <c r="AE142" s="264"/>
      <c r="AF142" s="264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264"/>
      <c r="AB143" s="264"/>
      <c r="AC143" s="264"/>
      <c r="AD143" s="264"/>
      <c r="AE143" s="264"/>
      <c r="AF143" s="264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264"/>
      <c r="AB144" s="264"/>
      <c r="AC144" s="264"/>
      <c r="AD144" s="264"/>
      <c r="AE144" s="264"/>
      <c r="AF144" s="264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264"/>
      <c r="AB145" s="264"/>
      <c r="AC145" s="264"/>
      <c r="AD145" s="264"/>
      <c r="AE145" s="264"/>
      <c r="AF145" s="264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264"/>
      <c r="AB146" s="264"/>
      <c r="AC146" s="264"/>
      <c r="AD146" s="264"/>
      <c r="AE146" s="264"/>
      <c r="AF146" s="264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264"/>
      <c r="AB147" s="264"/>
      <c r="AC147" s="264"/>
      <c r="AD147" s="264"/>
      <c r="AE147" s="264"/>
      <c r="AF147" s="264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264"/>
      <c r="AB148" s="264"/>
      <c r="AC148" s="264"/>
      <c r="AD148" s="264"/>
      <c r="AE148" s="264"/>
      <c r="AF148" s="264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264"/>
      <c r="AB149" s="264"/>
      <c r="AC149" s="264"/>
      <c r="AD149" s="264"/>
      <c r="AE149" s="264"/>
      <c r="AF149" s="264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264"/>
      <c r="AB150" s="264"/>
      <c r="AC150" s="264"/>
      <c r="AD150" s="264"/>
      <c r="AE150" s="264"/>
      <c r="AF150" s="264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264"/>
      <c r="AB151" s="264"/>
      <c r="AC151" s="264"/>
      <c r="AD151" s="264"/>
      <c r="AE151" s="264"/>
      <c r="AF151" s="264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264"/>
      <c r="AB152" s="264"/>
      <c r="AC152" s="264"/>
      <c r="AD152" s="264"/>
      <c r="AE152" s="264"/>
      <c r="AF152" s="264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264"/>
      <c r="AB153" s="264"/>
      <c r="AC153" s="264"/>
      <c r="AD153" s="264"/>
      <c r="AE153" s="264"/>
      <c r="AF153" s="264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264"/>
      <c r="AB154" s="264"/>
      <c r="AC154" s="264"/>
      <c r="AD154" s="264"/>
      <c r="AE154" s="264"/>
      <c r="AF154" s="264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264"/>
      <c r="AB155" s="264"/>
      <c r="AC155" s="264"/>
      <c r="AD155" s="264"/>
      <c r="AE155" s="264"/>
      <c r="AF155" s="264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264"/>
      <c r="AB156" s="264"/>
      <c r="AC156" s="264"/>
      <c r="AD156" s="264"/>
      <c r="AE156" s="264"/>
      <c r="AF156" s="264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264"/>
      <c r="AB157" s="264"/>
      <c r="AC157" s="264"/>
      <c r="AD157" s="264"/>
      <c r="AE157" s="264"/>
      <c r="AF157" s="264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264"/>
      <c r="AB158" s="264"/>
      <c r="AC158" s="264"/>
      <c r="AD158" s="264"/>
      <c r="AE158" s="264"/>
      <c r="AF158" s="264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264"/>
      <c r="AB159" s="264"/>
      <c r="AC159" s="264"/>
      <c r="AD159" s="264"/>
      <c r="AE159" s="264"/>
      <c r="AF159" s="264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264"/>
      <c r="AB160" s="264"/>
      <c r="AC160" s="264"/>
      <c r="AD160" s="264"/>
      <c r="AE160" s="264"/>
      <c r="AF160" s="264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264"/>
      <c r="AB161" s="264"/>
      <c r="AC161" s="264"/>
      <c r="AD161" s="264"/>
      <c r="AE161" s="264"/>
      <c r="AF161" s="264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264"/>
      <c r="AB162" s="264"/>
      <c r="AC162" s="264"/>
      <c r="AD162" s="264"/>
      <c r="AE162" s="264"/>
      <c r="AF162" s="264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</sheetData>
  <sheetProtection selectLockedCells="1"/>
  <protectedRanges>
    <protectedRange sqref="E20:V59" name="Диапазон3"/>
  </protectedRanges>
  <customSheetViews>
    <customSheetView guid="{BFE542F4-8A0C-4C42-A5CA-C7B0ACF2717E}" scale="90" hiddenRows="1" hiddenColumns="1" topLeftCell="C1">
      <selection activeCell="AA6" sqref="AA6"/>
      <pageMargins left="0.17" right="0.19" top="0.48583333333333334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4">
    <mergeCell ref="H2:J2"/>
    <mergeCell ref="K2:M2"/>
    <mergeCell ref="N2:O2"/>
    <mergeCell ref="D2:E2"/>
    <mergeCell ref="F2:G2"/>
    <mergeCell ref="B9:W9"/>
    <mergeCell ref="C4:F4"/>
    <mergeCell ref="B10:B12"/>
    <mergeCell ref="C10:C12"/>
    <mergeCell ref="D10:D12"/>
    <mergeCell ref="E10:W11"/>
    <mergeCell ref="J6:M6"/>
    <mergeCell ref="T12:U12"/>
    <mergeCell ref="G4:S4"/>
  </mergeCells>
  <conditionalFormatting sqref="E20:W59">
    <cfRule type="expression" dxfId="2" priority="5" stopIfTrue="1">
      <formula>AND(OR($C20&lt;&gt;"",$D20&lt;&gt;""),$A20=1,ISBLANK(E20))</formula>
    </cfRule>
  </conditionalFormatting>
  <dataValidations xWindow="955" yWindow="541" count="19">
    <dataValidation type="list" allowBlank="1" showDropDown="1" showInputMessage="1" showErrorMessage="1" promptTitle="1. Ответ учащегося" prompt="Возможные значения: 1, 2, 3 или 4.&#10;Если ученик не дал ответа, введите N." sqref="E20:E59">
      <formula1>"1,2,3,4,N"</formula1>
    </dataValidation>
    <dataValidation type="list" allowBlank="1" showDropDown="1" showInputMessage="1" showErrorMessage="1" promptTitle="2. Ответ учащегося" prompt="Возможные значения: 1, 2, 3 или 4.&#10;Если ученик не дал ответа, введите N." sqref="F20:F59">
      <formula1>"1,2,3,4,N"</formula1>
    </dataValidation>
    <dataValidation type="list" allowBlank="1" showDropDown="1" showInputMessage="1" showErrorMessage="1" promptTitle="3. Ответ учащегося" prompt="Возможные значения: 1, 2, 3 или 4.&#10;Если ученик не дал ответа, введите N." sqref="G20:G59">
      <formula1>"1,2,3,4,N"</formula1>
    </dataValidation>
    <dataValidation type="list" allowBlank="1" showDropDown="1" showInputMessage="1" showErrorMessage="1" promptTitle="4. Ответ учащегося" prompt="Возможные значения: 1, 2, 3 или 4.&#10;Если ученик не дал ответа, введите N." sqref="H20:H59">
      <formula1>"1,2,3,4,N"</formula1>
    </dataValidation>
    <dataValidation type="list" allowBlank="1" showDropDown="1" showInputMessage="1" showErrorMessage="1" promptTitle="5. Ответ учащегося" prompt="Возможные значения:1, 2, 3 или 4.&#10;Если ученик не дал ответа, введите N." sqref="I20:I59">
      <formula1>"1,2,3,4,N"</formula1>
    </dataValidation>
    <dataValidation type="list" allowBlank="1" showDropDown="1" showInputMessage="1" showErrorMessage="1" promptTitle="6. Ответ учащегося" prompt="Возможные значения: 1, 2, 3 или 4.&#10;Если ученик не дал ответа, введите N." sqref="J20:J59">
      <formula1>"1,2,3,4,N"</formula1>
    </dataValidation>
    <dataValidation type="list" allowBlank="1" showDropDown="1" showInputMessage="1" showErrorMessage="1" promptTitle="7. Ответ учащегося" prompt="Возможные значения: 1, 2, 3 или 4.&#10;Если ученик не дал ответа, введите N." sqref="K20:K59">
      <formula1>"1,2,3,4,N"</formula1>
    </dataValidation>
    <dataValidation type="list" allowBlank="1" showDropDown="1" showInputMessage="1" showErrorMessage="1" promptTitle="8. Ответ учащегося" prompt="Возможные значения: 1, 2, 3 или 4.&#10;Если ученик не дал ответа, введите N." sqref="L20:L59">
      <formula1>"1,2,3,4,N"</formula1>
    </dataValidation>
    <dataValidation type="list" allowBlank="1" showDropDown="1" showInputMessage="1" showErrorMessage="1" promptTitle="9. Ответ учащегося" prompt="Возможные значения: 1, 2, 3 или 4.&#10;Если ученик не дал ответа, введите N." sqref="M20:M59">
      <formula1>"1,2,3,4,N"</formula1>
    </dataValidation>
    <dataValidation type="list" allowBlank="1" showDropDown="1" showInputMessage="1" showErrorMessage="1" promptTitle="10. Ответ учащегося" prompt="Возможные значения: 1, 2, 3 или 4.&#10;Если ученик не дал ответа, введите N." sqref="N20:N59">
      <formula1>"1,2,3,4,N"</formula1>
    </dataValidation>
    <dataValidation type="list" allowBlank="1" showDropDown="1" showInputMessage="1" showErrorMessage="1" promptTitle="11. Ответ учащегося" prompt="Возможные значения: 1, 2, 3 или 4.&#10;Если ученик не дал ответа, введите N." sqref="O20:O59">
      <formula1>"1,2,3,4,N"</formula1>
    </dataValidation>
    <dataValidation type="list" allowBlank="1" showDropDown="1" showInputMessage="1" showErrorMessage="1" promptTitle="12. Ответ учащегося" prompt="Возможные значения: 1, 2, 3 или 4.&#10;Если ученик не дал ответа, введите N." sqref="P20:P59">
      <formula1>"1,2,3,4,N"</formula1>
    </dataValidation>
    <dataValidation type="list" allowBlank="1" showDropDown="1" showInputMessage="1" showErrorMessage="1" promptTitle="13. Ответ учащегося" prompt="Возможные значения: 1, 2, 3 или 4.&#10;Если ученик не дал ответа, введите N." sqref="Q20:Q59">
      <formula1>"1,2,3,4,N"</formula1>
    </dataValidation>
    <dataValidation type="list" allowBlank="1" showDropDown="1" showInputMessage="1" showErrorMessage="1" promptTitle="14. Ответ учащегося" prompt="Возможные значения: 1, 2, 3 или 4.&#10;Если ученик не дал ответа, введите N.&#10;" sqref="R20:R59">
      <formula1>"1,2,3,4,N"</formula1>
    </dataValidation>
    <dataValidation type="list" allowBlank="1" showDropDown="1" showInputMessage="1" showErrorMessage="1" promptTitle="15. Ответ учащегося" prompt="Возможные значения: 1, 2, 3 или 4.&#10;Если ученик не дал ответа, введите N.&#10;" sqref="S20:S59">
      <formula1>"1,2,3,4,N"</formula1>
    </dataValidation>
    <dataValidation allowBlank="1" showDropDown="1" showInputMessage="1" showErrorMessage="1" promptTitle="16Б. Ответ учащегося" prompt="Впишите ответ учащегося.&#10;Если ученик не дал ответа, введите N.&#10;" sqref="U20:U59"/>
    <dataValidation allowBlank="1" showDropDown="1" showInputMessage="1" showErrorMessage="1" promptTitle="16А. Ответ учащегося" prompt="Впишите ответ учащегося.&#10;Если ученик не дал ответа, введите N.&#10;" sqref="T20:T59"/>
    <dataValidation allowBlank="1" showDropDown="1" showInputMessage="1" showErrorMessage="1" promptTitle="17. Ответ учащегося" prompt="Впишите ответ учащегося.&#10;Если ученик не дал ответа, введите N.&#10;&#10;" sqref="V20:V59"/>
    <dataValidation type="list" allowBlank="1" showDropDown="1" showInputMessage="1" showErrorMessage="1" promptTitle="18. Ответ учащегося" prompt="Введите баллы за выполнение задания 2 или 0. Если ученик не дал ответа, введите N.&#10;&#10;" sqref="W20:W59">
      <formula1>"0,2,N"</formula1>
    </dataValidation>
  </dataValidations>
  <pageMargins left="0.17" right="0.19" top="0.48583333333333334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BJ162"/>
  <sheetViews>
    <sheetView topLeftCell="A2" zoomScale="70" zoomScaleNormal="70" zoomScalePageLayoutView="90" workbookViewId="0">
      <selection activeCell="AA6" sqref="AA6"/>
    </sheetView>
  </sheetViews>
  <sheetFormatPr defaultRowHeight="12.75"/>
  <cols>
    <col min="1" max="1" width="2.42578125" style="1" customWidth="1"/>
    <col min="2" max="2" width="4" style="1" customWidth="1"/>
    <col min="3" max="3" width="4.28515625" style="1" bestFit="1" customWidth="1"/>
    <col min="4" max="4" width="29" style="1" customWidth="1"/>
    <col min="5" max="5" width="4" style="1" customWidth="1"/>
    <col min="6" max="21" width="5.42578125" style="1" customWidth="1"/>
    <col min="22" max="23" width="5.42578125" style="1" hidden="1" customWidth="1"/>
    <col min="24" max="25" width="5.42578125" style="1" customWidth="1"/>
    <col min="26" max="26" width="6.5703125" style="1" customWidth="1"/>
    <col min="27" max="27" width="8.5703125" style="1" customWidth="1"/>
    <col min="28" max="28" width="10.7109375" style="1" customWidth="1"/>
    <col min="29" max="29" width="12.42578125" style="1" customWidth="1"/>
    <col min="30" max="30" width="14" style="1" customWidth="1"/>
    <col min="31" max="31" width="16.140625" style="1" customWidth="1"/>
    <col min="32" max="32" width="17.7109375" style="1" customWidth="1"/>
    <col min="33" max="34" width="9.140625" style="1" hidden="1" customWidth="1"/>
    <col min="35" max="35" width="8.140625" style="1" customWidth="1"/>
    <col min="36" max="36" width="8" style="1" customWidth="1"/>
    <col min="37" max="16384" width="9.140625" style="1"/>
  </cols>
  <sheetData>
    <row r="1" spans="1:62" ht="17.25" customHeight="1">
      <c r="B1" s="10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30.75" customHeight="1">
      <c r="B2" s="105"/>
      <c r="C2" s="84"/>
      <c r="D2" s="85"/>
      <c r="E2" s="452" t="s">
        <v>0</v>
      </c>
      <c r="F2" s="452"/>
      <c r="G2" s="452"/>
      <c r="H2" s="453"/>
      <c r="I2" s="449" t="str">
        <f>IF(NOT(ISBLANK('СПИСОК КЛАССА'!H1)),'СПИСОК КЛАССА'!H1,"")</f>
        <v>138074</v>
      </c>
      <c r="J2" s="450"/>
      <c r="K2" s="451"/>
      <c r="L2" s="484" t="s">
        <v>1</v>
      </c>
      <c r="M2" s="452"/>
      <c r="N2" s="453"/>
      <c r="O2" s="485" t="str">
        <f>IF(NOT(ISBLANK('СПИСОК КЛАССА'!J1)),'СПИСОК КЛАССА'!J1,"")</f>
        <v>0502</v>
      </c>
      <c r="P2" s="485"/>
      <c r="Q2" s="86"/>
      <c r="S2" s="86"/>
      <c r="T2" s="86"/>
      <c r="U2" s="86"/>
      <c r="V2" s="86"/>
      <c r="W2" s="86"/>
      <c r="X2" s="86"/>
      <c r="Y2" s="86"/>
      <c r="Z2" s="86"/>
      <c r="AA2" s="84"/>
      <c r="AB2" s="8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>
      <c r="B3" s="105"/>
      <c r="C3" s="84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s="3" customFormat="1" ht="23.25" customHeight="1" thickBot="1">
      <c r="B4" s="90"/>
      <c r="C4" s="429" t="s">
        <v>136</v>
      </c>
      <c r="D4" s="429"/>
      <c r="E4" s="429"/>
      <c r="F4" s="429"/>
      <c r="G4" s="488" t="str">
        <f>IF(NOT(ISBLANK('СПИСОК КЛАССА'!E3)),'СПИСОК КЛАССА'!E3,"")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104"/>
      <c r="AA4" s="90"/>
      <c r="AB4" s="90"/>
      <c r="AC4" s="254"/>
      <c r="AD4" s="254"/>
      <c r="AE4" s="254"/>
      <c r="AF4" s="254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3.5" thickBot="1">
      <c r="B5" s="105"/>
      <c r="C5" s="84"/>
      <c r="D5" s="91"/>
      <c r="E5" s="89"/>
      <c r="F5" s="89"/>
      <c r="G5" s="84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255"/>
      <c r="AD5" s="255"/>
      <c r="AE5" s="255"/>
      <c r="AF5" s="25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17.25" customHeight="1" thickBot="1">
      <c r="B6" s="105"/>
      <c r="C6" s="84"/>
      <c r="D6" s="92" t="s">
        <v>128</v>
      </c>
      <c r="E6" s="92"/>
      <c r="F6" s="93">
        <f>'ОТВЕТЫ УЧАЩИХСЯ'!E7</f>
        <v>24</v>
      </c>
      <c r="G6" s="84"/>
      <c r="I6" s="84"/>
      <c r="J6" s="92" t="s">
        <v>12</v>
      </c>
      <c r="K6" s="487" t="str">
        <f>'ОТВЕТЫ УЧАЩИХСЯ'!J6</f>
        <v>26 сентября</v>
      </c>
      <c r="L6" s="487"/>
      <c r="M6" s="487"/>
      <c r="N6" s="487"/>
      <c r="O6" s="86"/>
      <c r="P6" s="103"/>
      <c r="Q6" s="88"/>
      <c r="R6" s="86"/>
      <c r="S6" s="103"/>
      <c r="T6" s="88"/>
      <c r="U6" s="88"/>
      <c r="V6" s="88"/>
      <c r="W6" s="88"/>
      <c r="X6" s="88"/>
      <c r="Y6" s="88"/>
      <c r="Z6" s="94" t="s">
        <v>13</v>
      </c>
      <c r="AA6" s="95" t="s">
        <v>178</v>
      </c>
      <c r="AB6" s="253"/>
      <c r="AC6" s="456" t="str">
        <f>IF(AND(OR($C21&lt;&gt;"",$D21&lt;&gt;""),$A21=1,$AA$6="ДА"),"ВНИМАНИЕ! Проверьте правильность заполнения всех форм!","")</f>
        <v/>
      </c>
      <c r="AD6" s="456"/>
      <c r="AE6" s="456"/>
      <c r="AF6" s="45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>
      <c r="B7" s="105"/>
      <c r="C7" s="84"/>
      <c r="D7" s="9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457" t="str">
        <f>IF(AND(OR($C21&lt;&gt;"",$D21&lt;&gt;""),$A21=1,$AA$6="ДА"),"Не заполнено полей в СПИСКЕ КЛАССА","")</f>
        <v/>
      </c>
      <c r="AD7" s="457"/>
      <c r="AE7" s="457"/>
      <c r="AF7" s="256" t="str">
        <f>IF(AND(OR($C21&lt;&gt;"",$D21&lt;&gt;""),$A21=1,$AA$6="ДА"),'СПИСОК КЛАССА'!S19,"")</f>
        <v/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6.5" thickBot="1">
      <c r="B8" s="106"/>
      <c r="C8" s="428" t="s">
        <v>177</v>
      </c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57" t="str">
        <f>IF(AND(OR($C21&lt;&gt;"",$D21&lt;&gt;""),$A21=1,$AA$6="ДА"),"Не заполнено строк в ОТВЕТАХ УЧАЩИХСЯ","")</f>
        <v/>
      </c>
      <c r="AD8" s="457"/>
      <c r="AE8" s="457"/>
      <c r="AF8" s="256" t="str">
        <f>IF(AND(OR($C21&lt;&gt;"",$D21&lt;&gt;""),$A21=1,$AA$6="ДА"),'ОТВЕТЫ УЧАЩИХСЯ'!AK19,"")</f>
        <v/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5.75" customHeight="1">
      <c r="A9" s="10"/>
      <c r="B9" s="467" t="s">
        <v>2</v>
      </c>
      <c r="C9" s="434" t="s">
        <v>14</v>
      </c>
      <c r="D9" s="476" t="s">
        <v>3</v>
      </c>
      <c r="E9" s="469" t="s">
        <v>143</v>
      </c>
      <c r="F9" s="480" t="s">
        <v>144</v>
      </c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73" t="s">
        <v>16</v>
      </c>
      <c r="AA9" s="470" t="s">
        <v>18</v>
      </c>
      <c r="AB9" s="458" t="s">
        <v>146</v>
      </c>
      <c r="AC9" s="458" t="s">
        <v>127</v>
      </c>
      <c r="AD9" s="461" t="s">
        <v>113</v>
      </c>
      <c r="AE9" s="458" t="s">
        <v>126</v>
      </c>
      <c r="AF9" s="464" t="s">
        <v>95</v>
      </c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62" ht="76.5" customHeight="1" thickBot="1">
      <c r="A10" s="11"/>
      <c r="B10" s="431"/>
      <c r="C10" s="434"/>
      <c r="D10" s="476"/>
      <c r="E10" s="478"/>
      <c r="F10" s="482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74"/>
      <c r="AA10" s="471"/>
      <c r="AB10" s="459"/>
      <c r="AC10" s="459"/>
      <c r="AD10" s="462"/>
      <c r="AE10" s="459"/>
      <c r="AF10" s="465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62" ht="85.5" customHeight="1" thickBot="1">
      <c r="A11" s="11"/>
      <c r="B11" s="468"/>
      <c r="C11" s="469"/>
      <c r="D11" s="477"/>
      <c r="E11" s="479"/>
      <c r="F11" s="136">
        <v>1</v>
      </c>
      <c r="G11" s="137">
        <v>2</v>
      </c>
      <c r="H11" s="137">
        <v>3</v>
      </c>
      <c r="I11" s="137">
        <v>4</v>
      </c>
      <c r="J11" s="137">
        <v>5</v>
      </c>
      <c r="K11" s="137">
        <v>6</v>
      </c>
      <c r="L11" s="137">
        <v>7</v>
      </c>
      <c r="M11" s="137">
        <v>8</v>
      </c>
      <c r="N11" s="137">
        <v>9</v>
      </c>
      <c r="O11" s="137">
        <v>10</v>
      </c>
      <c r="P11" s="137">
        <v>11</v>
      </c>
      <c r="Q11" s="137">
        <v>12</v>
      </c>
      <c r="R11" s="137">
        <v>13</v>
      </c>
      <c r="S11" s="137">
        <v>14</v>
      </c>
      <c r="T11" s="137">
        <v>15</v>
      </c>
      <c r="U11" s="137">
        <v>16</v>
      </c>
      <c r="V11" s="137"/>
      <c r="W11" s="137"/>
      <c r="X11" s="137">
        <v>17</v>
      </c>
      <c r="Y11" s="137">
        <v>18</v>
      </c>
      <c r="Z11" s="475"/>
      <c r="AA11" s="472"/>
      <c r="AB11" s="460"/>
      <c r="AC11" s="460"/>
      <c r="AD11" s="463"/>
      <c r="AE11" s="460"/>
      <c r="AF11" s="46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62" ht="24.75" hidden="1" customHeight="1">
      <c r="A12" s="11"/>
      <c r="B12" s="247"/>
      <c r="C12" s="248"/>
      <c r="D12" s="249"/>
      <c r="E12" s="282"/>
      <c r="F12" s="286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88"/>
      <c r="AA12" s="289"/>
      <c r="AB12" s="290"/>
      <c r="AC12" s="290"/>
      <c r="AD12" s="290"/>
      <c r="AE12" s="290"/>
      <c r="AF12" s="291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62" ht="24.75" hidden="1" customHeight="1">
      <c r="A13" s="11"/>
      <c r="B13" s="247"/>
      <c r="C13" s="248"/>
      <c r="D13" s="249"/>
      <c r="E13" s="282"/>
      <c r="F13" s="287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7"/>
      <c r="AA13" s="251"/>
      <c r="AB13" s="247"/>
      <c r="AC13" s="247"/>
      <c r="AD13" s="247"/>
      <c r="AE13" s="247"/>
      <c r="AF13" s="258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62" ht="30" hidden="1" customHeight="1">
      <c r="A14" s="11"/>
      <c r="B14" s="247"/>
      <c r="C14" s="248"/>
      <c r="D14" s="249"/>
      <c r="E14" s="282"/>
      <c r="F14" s="287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7"/>
      <c r="AA14" s="251"/>
      <c r="AB14" s="247"/>
      <c r="AC14" s="247"/>
      <c r="AD14" s="247"/>
      <c r="AE14" s="247"/>
      <c r="AF14" s="258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62" ht="34.5" hidden="1" customHeight="1">
      <c r="A15" s="11"/>
      <c r="B15" s="242"/>
      <c r="C15" s="243"/>
      <c r="D15" s="244"/>
      <c r="E15" s="283"/>
      <c r="F15" s="196"/>
      <c r="G15" s="197"/>
      <c r="H15" s="197"/>
      <c r="I15" s="197"/>
      <c r="J15" s="197"/>
      <c r="K15" s="197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259"/>
      <c r="AA15" s="245"/>
      <c r="AB15" s="246"/>
      <c r="AC15" s="246"/>
      <c r="AD15" s="246"/>
      <c r="AE15" s="246"/>
      <c r="AF15" s="202">
        <f>COUNTIF(AF20:AF59,"ВЫСОКИЙ")</f>
        <v>2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62" ht="40.5" hidden="1" customHeight="1">
      <c r="A16" s="11"/>
      <c r="B16" s="193"/>
      <c r="C16" s="194"/>
      <c r="D16" s="195"/>
      <c r="E16" s="284">
        <v>2</v>
      </c>
      <c r="F16" s="199">
        <f t="shared" ref="F16:Y16" si="0">COUNTIF(F20:F59,"2")</f>
        <v>0</v>
      </c>
      <c r="G16" s="198">
        <f t="shared" si="0"/>
        <v>0</v>
      </c>
      <c r="H16" s="198">
        <f t="shared" si="0"/>
        <v>0</v>
      </c>
      <c r="I16" s="198">
        <f>COUNTIF(I20:I59,"2")</f>
        <v>0</v>
      </c>
      <c r="J16" s="198">
        <f t="shared" si="0"/>
        <v>0</v>
      </c>
      <c r="K16" s="198">
        <f t="shared" si="0"/>
        <v>0</v>
      </c>
      <c r="L16" s="198">
        <f t="shared" si="0"/>
        <v>9</v>
      </c>
      <c r="M16" s="198">
        <f t="shared" si="0"/>
        <v>15</v>
      </c>
      <c r="N16" s="198">
        <f t="shared" si="0"/>
        <v>16</v>
      </c>
      <c r="O16" s="198">
        <f t="shared" si="0"/>
        <v>0</v>
      </c>
      <c r="P16" s="198">
        <f t="shared" si="0"/>
        <v>0</v>
      </c>
      <c r="Q16" s="198">
        <f t="shared" si="0"/>
        <v>15</v>
      </c>
      <c r="R16" s="198">
        <f t="shared" si="0"/>
        <v>0</v>
      </c>
      <c r="S16" s="198">
        <f t="shared" si="0"/>
        <v>0</v>
      </c>
      <c r="T16" s="198">
        <f t="shared" si="0"/>
        <v>0</v>
      </c>
      <c r="U16" s="198">
        <f>COUNTIF(U20:U59,"2")</f>
        <v>11</v>
      </c>
      <c r="V16" s="198"/>
      <c r="W16" s="198"/>
      <c r="X16" s="198">
        <f>COUNTIF(X20:X59,"2")</f>
        <v>18</v>
      </c>
      <c r="Y16" s="198">
        <f t="shared" si="0"/>
        <v>0</v>
      </c>
      <c r="Z16" s="260"/>
      <c r="AA16" s="200"/>
      <c r="AB16" s="201"/>
      <c r="AC16" s="201"/>
      <c r="AD16" s="201"/>
      <c r="AE16" s="201"/>
      <c r="AF16" s="202">
        <f>COUNTIF(AF20:AF59,"ПОВЫШЕННЫЙ")</f>
        <v>3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42" hidden="1" customHeight="1">
      <c r="A17" s="11"/>
      <c r="B17" s="193"/>
      <c r="C17" s="194"/>
      <c r="D17" s="195"/>
      <c r="E17" s="284">
        <v>1</v>
      </c>
      <c r="F17" s="199">
        <f>COUNTIF(F20:F59,"1")</f>
        <v>21</v>
      </c>
      <c r="G17" s="198">
        <f t="shared" ref="G17:Y17" si="1">COUNTIF(G20:G59,"1")</f>
        <v>22</v>
      </c>
      <c r="H17" s="198">
        <f t="shared" si="1"/>
        <v>19</v>
      </c>
      <c r="I17" s="198">
        <f t="shared" si="1"/>
        <v>14</v>
      </c>
      <c r="J17" s="198">
        <f t="shared" si="1"/>
        <v>17</v>
      </c>
      <c r="K17" s="198">
        <f t="shared" si="1"/>
        <v>18</v>
      </c>
      <c r="L17" s="198">
        <f>COUNTIF(L20:L59,"1")</f>
        <v>0</v>
      </c>
      <c r="M17" s="198">
        <f>COUNTIF(M20:M59,"1")</f>
        <v>0</v>
      </c>
      <c r="N17" s="198">
        <f>COUNTIF(N20:N59,"1")</f>
        <v>0</v>
      </c>
      <c r="O17" s="198">
        <f>COUNTIF(O20:O59,"1")</f>
        <v>16</v>
      </c>
      <c r="P17" s="198">
        <f t="shared" si="1"/>
        <v>12</v>
      </c>
      <c r="Q17" s="198">
        <f t="shared" si="1"/>
        <v>0</v>
      </c>
      <c r="R17" s="198">
        <f t="shared" si="1"/>
        <v>21</v>
      </c>
      <c r="S17" s="198">
        <f t="shared" si="1"/>
        <v>17</v>
      </c>
      <c r="T17" s="198">
        <f t="shared" si="1"/>
        <v>20</v>
      </c>
      <c r="U17" s="198">
        <f>COUNTIF(U20:U59,"1")</f>
        <v>10</v>
      </c>
      <c r="V17" s="198"/>
      <c r="W17" s="198"/>
      <c r="X17" s="198">
        <f>COUNTIF(X20:X59,"1")</f>
        <v>0</v>
      </c>
      <c r="Y17" s="198">
        <f t="shared" si="1"/>
        <v>0</v>
      </c>
      <c r="Z17" s="260"/>
      <c r="AA17" s="200"/>
      <c r="AB17" s="201"/>
      <c r="AC17" s="201"/>
      <c r="AD17" s="201"/>
      <c r="AE17" s="201"/>
      <c r="AF17" s="202">
        <f>COUNTIF(AF20:AF59,"БАЗОВЫЙ")</f>
        <v>16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62.25" hidden="1" customHeight="1">
      <c r="A18" s="11"/>
      <c r="B18" s="193"/>
      <c r="C18" s="194"/>
      <c r="D18" s="195"/>
      <c r="E18" s="284">
        <v>0</v>
      </c>
      <c r="F18" s="199">
        <f>COUNTIF(F20:F59,"0")</f>
        <v>3</v>
      </c>
      <c r="G18" s="198">
        <f t="shared" ref="G18:Y18" si="2">COUNTIF(G20:G59,"0")</f>
        <v>2</v>
      </c>
      <c r="H18" s="198">
        <f t="shared" si="2"/>
        <v>5</v>
      </c>
      <c r="I18" s="198">
        <f t="shared" si="2"/>
        <v>9</v>
      </c>
      <c r="J18" s="198">
        <f t="shared" si="2"/>
        <v>7</v>
      </c>
      <c r="K18" s="198">
        <f t="shared" si="2"/>
        <v>6</v>
      </c>
      <c r="L18" s="198">
        <f t="shared" si="2"/>
        <v>15</v>
      </c>
      <c r="M18" s="198">
        <f t="shared" si="2"/>
        <v>9</v>
      </c>
      <c r="N18" s="198">
        <f t="shared" si="2"/>
        <v>7</v>
      </c>
      <c r="O18" s="198">
        <f t="shared" si="2"/>
        <v>8</v>
      </c>
      <c r="P18" s="198">
        <f t="shared" si="2"/>
        <v>12</v>
      </c>
      <c r="Q18" s="198">
        <f t="shared" si="2"/>
        <v>7</v>
      </c>
      <c r="R18" s="198">
        <f t="shared" si="2"/>
        <v>3</v>
      </c>
      <c r="S18" s="198">
        <f t="shared" si="2"/>
        <v>6</v>
      </c>
      <c r="T18" s="198">
        <f t="shared" si="2"/>
        <v>3</v>
      </c>
      <c r="U18" s="198">
        <f>COUNTIF(U20:U59,"0")</f>
        <v>1</v>
      </c>
      <c r="V18" s="198"/>
      <c r="W18" s="198"/>
      <c r="X18" s="198">
        <f>COUNTIF(X20:X59,"0")</f>
        <v>5</v>
      </c>
      <c r="Y18" s="198">
        <f t="shared" si="2"/>
        <v>0</v>
      </c>
      <c r="Z18" s="260">
        <f>Z19/'ОТВЕТЫ УЧАЩИХСЯ'!E7</f>
        <v>15.625</v>
      </c>
      <c r="AA18" s="200"/>
      <c r="AB18" s="201">
        <f>AB19/F6</f>
        <v>8.2083333333333339</v>
      </c>
      <c r="AC18" s="201"/>
      <c r="AD18" s="201"/>
      <c r="AE18" s="201"/>
      <c r="AF18" s="202">
        <f>COUNTIF(AF20:AF59,"НИЗКИЙ")</f>
        <v>3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66.75" hidden="1" customHeight="1" thickBot="1">
      <c r="A19" s="11">
        <f>SUM(A20:A59)</f>
        <v>24</v>
      </c>
      <c r="B19" s="203" t="s">
        <v>2</v>
      </c>
      <c r="C19" s="204" t="s">
        <v>22</v>
      </c>
      <c r="D19" s="205" t="s">
        <v>21</v>
      </c>
      <c r="E19" s="285" t="s">
        <v>130</v>
      </c>
      <c r="F19" s="206">
        <f>COUNTIF(F20:F59,"N")</f>
        <v>0</v>
      </c>
      <c r="G19" s="207">
        <f t="shared" ref="G19:Y19" si="3">COUNTIF(G20:G59,"N")</f>
        <v>0</v>
      </c>
      <c r="H19" s="207">
        <f t="shared" si="3"/>
        <v>0</v>
      </c>
      <c r="I19" s="207">
        <f t="shared" si="3"/>
        <v>1</v>
      </c>
      <c r="J19" s="207">
        <f t="shared" si="3"/>
        <v>0</v>
      </c>
      <c r="K19" s="207">
        <f t="shared" si="3"/>
        <v>0</v>
      </c>
      <c r="L19" s="207">
        <f t="shared" si="3"/>
        <v>0</v>
      </c>
      <c r="M19" s="207">
        <f t="shared" si="3"/>
        <v>0</v>
      </c>
      <c r="N19" s="207">
        <f t="shared" si="3"/>
        <v>1</v>
      </c>
      <c r="O19" s="207">
        <f t="shared" si="3"/>
        <v>0</v>
      </c>
      <c r="P19" s="207">
        <f t="shared" si="3"/>
        <v>0</v>
      </c>
      <c r="Q19" s="207">
        <f t="shared" si="3"/>
        <v>2</v>
      </c>
      <c r="R19" s="207">
        <f t="shared" si="3"/>
        <v>0</v>
      </c>
      <c r="S19" s="207">
        <f t="shared" si="3"/>
        <v>1</v>
      </c>
      <c r="T19" s="207">
        <f t="shared" si="3"/>
        <v>1</v>
      </c>
      <c r="U19" s="207">
        <f>COUNTIF(U20:U59,"N")</f>
        <v>2</v>
      </c>
      <c r="V19" s="207"/>
      <c r="W19" s="207"/>
      <c r="X19" s="207">
        <f>COUNTIF(X20:X59,"N")</f>
        <v>1</v>
      </c>
      <c r="Y19" s="207">
        <f t="shared" si="3"/>
        <v>0</v>
      </c>
      <c r="Z19" s="292">
        <f>SUM(Z20:Z59)</f>
        <v>375</v>
      </c>
      <c r="AA19" s="293">
        <f>IF(AND(OR($C19&lt;&gt;"",$D19&lt;&gt;""),$A19&lt;&gt;"",$AA$6="ДА"),Z19/25/'ОТВЕТЫ УЧАЩИХСЯ'!E7,"")</f>
        <v>0.625</v>
      </c>
      <c r="AB19" s="294">
        <f>SUM(AB20:AB59)</f>
        <v>197</v>
      </c>
      <c r="AC19" s="295">
        <f>AB19/11/'ОТВЕТЫ УЧАЩИХСЯ'!E7*100</f>
        <v>74.621212121212125</v>
      </c>
      <c r="AD19" s="296"/>
      <c r="AE19" s="296"/>
      <c r="AF19" s="297">
        <f>COUNTIF(AF20:AF59,"НЕДОСТАТОЧНЫЙ")</f>
        <v>0</v>
      </c>
      <c r="AG19" s="208"/>
      <c r="AH19" s="209"/>
      <c r="AI19" s="373"/>
      <c r="AJ19" s="373"/>
      <c r="AK19" s="6"/>
      <c r="AL19" s="6"/>
      <c r="AM19" s="6"/>
      <c r="AN19" s="6"/>
      <c r="AO19" s="6"/>
      <c r="AP19" s="6"/>
    </row>
    <row r="20" spans="1:42" ht="15" customHeight="1" thickBot="1">
      <c r="A20" s="138">
        <f>IF('СПИСОК КЛАССА'!J20&gt;0,1,0)</f>
        <v>0</v>
      </c>
      <c r="B20" s="139">
        <v>1</v>
      </c>
      <c r="C20" s="140">
        <f>IF(NOT(ISBLANK('СПИСОК КЛАССА'!C20)),'СПИСОК КЛАССА'!C20,"")</f>
        <v>1</v>
      </c>
      <c r="D20" s="144" t="str">
        <f>IF(NOT(ISBLANK('СПИСОК КЛАССА'!D20)),IF($A20=1,'СПИСОК КЛАССА'!D20, "УЧЕНИК НЕ ВЫПОЛНЯЛ РАБОТУ"),"")</f>
        <v/>
      </c>
      <c r="E20" s="148">
        <f>IF($C20&lt;&gt;"",'СПИСОК КЛАССА'!J20,"")</f>
        <v>0</v>
      </c>
      <c r="F20" s="329" t="str">
        <f>IF(AND(OR($C20&lt;&gt;"",$D20&lt;&gt;""),$A20=1,$AA$6="ДА"),(IF(A20=1,IF(OR(AND(E20=1,'ОТВЕТЫ УЧАЩИХСЯ'!E20=1),AND(E20=2,'ОТВЕТЫ УЧАЩИХСЯ'!E20=2),AND(E20=3,'ОТВЕТЫ УЧАЩИХСЯ'!E20=4),AND(E20=4,'ОТВЕТЫ УЧАЩИХСЯ'!E20=2)),1,IF('ОТВЕТЫ УЧАЩИХСЯ'!E20="N",'ОТВЕТЫ УЧАЩИХСЯ'!E20,0)),"")),"")</f>
        <v/>
      </c>
      <c r="G20" s="330" t="str">
        <f>IF(AND(OR($C20&lt;&gt;"",$D20&lt;&gt;""),$A20=1,$AA$6="ДА"),(IF(A20=1,IF(OR(AND(E20=1,'ОТВЕТЫ УЧАЩИХСЯ'!F20=4),AND(E20=2,'ОТВЕТЫ УЧАЩИХСЯ'!F20=1),AND(E20=3,'ОТВЕТЫ УЧАЩИХСЯ'!F20=2),AND(E20=4,'ОТВЕТЫ УЧАЩИХСЯ'!F20=3)),1,IF('ОТВЕТЫ УЧАЩИХСЯ'!F20="N",'ОТВЕТЫ УЧАЩИХСЯ'!F20,0)),"")),"")</f>
        <v/>
      </c>
      <c r="H20" s="330" t="str">
        <f>IF(AND(OR($C20&lt;&gt;"",$D20&lt;&gt;""),$A20=1,$AA$6="ДА"),(IF(A20=1,IF(OR(AND(E20=1,'ОТВЕТЫ УЧАЩИХСЯ'!G20=4),AND(E20=2,'ОТВЕТЫ УЧАЩИХСЯ'!G20=3),AND(E20=3,'ОТВЕТЫ УЧАЩИХСЯ'!G20=4),AND(E20=4,'ОТВЕТЫ УЧАЩИХСЯ'!G20=4)),1,IF('ОТВЕТЫ УЧАЩИХСЯ'!G20="N",'ОТВЕТЫ УЧАЩИХСЯ'!G20,0)),"")),"")</f>
        <v/>
      </c>
      <c r="I20" s="330" t="str">
        <f>IF(AND(OR($C20&lt;&gt;"",$D20&lt;&gt;""),$A20=1,$AA$6="ДА"),(IF(A20=1,IF(OR(AND(E20=1,'ОТВЕТЫ УЧАЩИХСЯ'!H20=2),AND(E20=2,'ОТВЕТЫ УЧАЩИХСЯ'!H20=1),AND(E20=3,'ОТВЕТЫ УЧАЩИХСЯ'!H20=3),AND(E20=4,'ОТВЕТЫ УЧАЩИХСЯ'!H20=4)),1,IF('ОТВЕТЫ УЧАЩИХСЯ'!H20="N",'ОТВЕТЫ УЧАЩИХСЯ'!H20,0)),"")),"")</f>
        <v/>
      </c>
      <c r="J20" s="330" t="str">
        <f>IF(AND(OR($C20&lt;&gt;"",$D20&lt;&gt;""),$A20=1,$AA$6="ДА"),(IF(A20=1,IF(OR(AND(E20=1,'ОТВЕТЫ УЧАЩИХСЯ'!I20=3),AND(E20=2,'ОТВЕТЫ УЧАЩИХСЯ'!I20=4),AND(E20=3,'ОТВЕТЫ УЧАЩИХСЯ'!I20=3),AND(E20=4,'ОТВЕТЫ УЧАЩИХСЯ'!I20=1)),1,IF('ОТВЕТЫ УЧАЩИХСЯ'!I20="N",'ОТВЕТЫ УЧАЩИХСЯ'!I20,0)),"")),"")</f>
        <v/>
      </c>
      <c r="K20" s="330" t="str">
        <f>IF(AND(OR($C20&lt;&gt;"",$D20&lt;&gt;""),$A20=1,$AA$6="ДА"),(IF(A20=1,IF(OR(AND(E20=1,'ОТВЕТЫ УЧАЩИХСЯ'!J20=3),AND(E20=2,'ОТВЕТЫ УЧАЩИХСЯ'!J20=3),AND(E20=3,'ОТВЕТЫ УЧАЩИХСЯ'!J20=2),AND(E20=4,'ОТВЕТЫ УЧАЩИХСЯ'!J20=4)),1,IF('ОТВЕТЫ УЧАЩИХСЯ'!J20="N",'ОТВЕТЫ УЧАЩИХСЯ'!J20,0)),"")),"")</f>
        <v/>
      </c>
      <c r="L20" s="331" t="str">
        <f>IF(AND(OR($C20&lt;&gt;"",$D20&lt;&gt;""),$A20=1,$AA$6="ДА"),(IF(A20=1,IF(OR(AND(E20=1,'ОТВЕТЫ УЧАЩИХСЯ'!K20=2),AND(E20=2,'ОТВЕТЫ УЧАЩИХСЯ'!K20=4),AND(E20=3,'ОТВЕТЫ УЧАЩИХСЯ'!K20=1),AND(E20=4,'ОТВЕТЫ УЧАЩИХСЯ'!K20=3)),2,IF('ОТВЕТЫ УЧАЩИХСЯ'!K20="N",'ОТВЕТЫ УЧАЩИХСЯ'!K20,0)),"")),"")</f>
        <v/>
      </c>
      <c r="M20" s="331" t="str">
        <f>IF(AND(OR($C20&lt;&gt;"",$D20&lt;&gt;""),$A20=1,$AA$6="ДА"),(IF(A20=1,IF(OR(AND(E20=1,'ОТВЕТЫ УЧАЩИХСЯ'!L20=4),AND(E20=2,'ОТВЕТЫ УЧАЩИХСЯ'!L20=1),AND(E20=3,'ОТВЕТЫ УЧАЩИХСЯ'!L20=4),AND(E20=4,'ОТВЕТЫ УЧАЩИХСЯ'!L20=2)),2,IF('ОТВЕТЫ УЧАЩИХСЯ'!L20="N",'ОТВЕТЫ УЧАЩИХСЯ'!L20,0)),"")),"")</f>
        <v/>
      </c>
      <c r="N20" s="330" t="str">
        <f>IF(AND(OR($C20&lt;&gt;"",$D20&lt;&gt;""),$A20=1,$AA$6="ДА"),(IF(A20=1,IF(OR(AND(E20=1,'ОТВЕТЫ УЧАЩИХСЯ'!M20=1),AND(E20=2,'ОТВЕТЫ УЧАЩИХСЯ'!M20=3),AND(E20=3,'ОТВЕТЫ УЧАЩИХСЯ'!M20=3),AND(E20=4,'ОТВЕТЫ УЧАЩИХСЯ'!M20=1)),2,IF('ОТВЕТЫ УЧАЩИХСЯ'!M20="N",'ОТВЕТЫ УЧАЩИХСЯ'!M20,0)),"")),"")</f>
        <v/>
      </c>
      <c r="O20" s="330" t="str">
        <f>IF(AND(OR($C20&lt;&gt;"",$D20&lt;&gt;""),$A20=1,$AA$6="ДА"),(IF(A20=1,IF(OR(AND(E20=1,'ОТВЕТЫ УЧАЩИХСЯ'!N20=2),AND(E20=2,'ОТВЕТЫ УЧАЩИХСЯ'!N20=1),AND(E20=3,'ОТВЕТЫ УЧАЩИХСЯ'!N20=3),AND(E20=4,'ОТВЕТЫ УЧАЩИХСЯ'!N20=3)),1,IF('ОТВЕТЫ УЧАЩИХСЯ'!N20="N",'ОТВЕТЫ УЧАЩИХСЯ'!N20,0)),"")),"")</f>
        <v/>
      </c>
      <c r="P20" s="330" t="str">
        <f>IF(AND(OR($C20&lt;&gt;"",$D20&lt;&gt;""),$A20=1,$AA$6="ДА"),(IF(A20=1,IF(OR(AND(E20=1,'ОТВЕТЫ УЧАЩИХСЯ'!O20=3),AND(E20=2,'ОТВЕТЫ УЧАЩИХСЯ'!O20=4),AND(E20=3,'ОТВЕТЫ УЧАЩИХСЯ'!O20=2),AND(E20=4,'ОТВЕТЫ УЧАЩИХСЯ'!O20=2)),1,IF('ОТВЕТЫ УЧАЩИХСЯ'!O20="N",'ОТВЕТЫ УЧАЩИХСЯ'!O20,0)),"")),"")</f>
        <v/>
      </c>
      <c r="Q20" s="151" t="str">
        <f>IF(AND(OR($C20&lt;&gt;"",$D20&lt;&gt;""),$A20=1,$AA$6="ДА"),(IF(A20=1,IF(OR(AND(E20=1,'ОТВЕТЫ УЧАЩИХСЯ'!P20=4),AND(E20=2,'ОТВЕТЫ УЧАЩИХСЯ'!P20=2),AND(E20=3,'ОТВЕТЫ УЧАЩИХСЯ'!P20=3),AND(E20=4,'ОТВЕТЫ УЧАЩИХСЯ'!P20=2)),2,IF('ОТВЕТЫ УЧАЩИХСЯ'!P20="N",'ОТВЕТЫ УЧАЩИХСЯ'!P20,0)),"")),"")</f>
        <v/>
      </c>
      <c r="R20" s="330" t="str">
        <f>IF(AND(OR($C20&lt;&gt;"",$D20&lt;&gt;""),$A20=1,$AA$6="ДА"),(IF(A20=1,IF(OR(AND(E20=1,'ОТВЕТЫ УЧАЩИХСЯ'!Q20=4),AND(E20=2,'ОТВЕТЫ УЧАЩИХСЯ'!Q20=1),AND(E20=3,'ОТВЕТЫ УЧАЩИХСЯ'!Q20=3),AND(E20=4,'ОТВЕТЫ УЧАЩИХСЯ'!Q20=4)),1,IF('ОТВЕТЫ УЧАЩИХСЯ'!Q20="N",'ОТВЕТЫ УЧАЩИХСЯ'!Q20,0)),"")),"")</f>
        <v/>
      </c>
      <c r="S20" s="330" t="str">
        <f>IF(AND(OR($C20&lt;&gt;"",$D20&lt;&gt;""),$A20=1,$AA$6="ДА"),(IF(A20=1,IF(OR(AND(E20=1,'ОТВЕТЫ УЧАЩИХСЯ'!R20=3),AND(E20=2,'ОТВЕТЫ УЧАЩИХСЯ'!R20=4),AND(E20=3,'ОТВЕТЫ УЧАЩИХСЯ'!R20=2),AND(E20=4,'ОТВЕТЫ УЧАЩИХСЯ'!R20=1)),1,IF('ОТВЕТЫ УЧАЩИХСЯ'!R20="N",'ОТВЕТЫ УЧАЩИХСЯ'!R20,0)),"")),"")</f>
        <v/>
      </c>
      <c r="T20" s="330" t="str">
        <f>IF(AND(OR($C20&lt;&gt;"",$D20&lt;&gt;""),$A20=1,$AA$6="ДА"),(IF(A20=1,IF(OR(AND(E20=1,'ОТВЕТЫ УЧАЩИХСЯ'!S20=1),AND(E20=2,'ОТВЕТЫ УЧАЩИХСЯ'!S20=2),AND(E20=3,'ОТВЕТЫ УЧАЩИХСЯ'!S20=2),AND(E20=4,'ОТВЕТЫ УЧАЩИХСЯ'!S20=3)),1,IF('ОТВЕТЫ УЧАЩИХСЯ'!S20="N",'ОТВЕТЫ УЧАЩИХСЯ'!S20,0)),"")),"")</f>
        <v/>
      </c>
      <c r="U20" s="99" t="str">
        <f>IF(AND(OR($C20&lt;&gt;"",$D20&lt;&gt;""),$A20=1,$AA$6="ДА"),(IF(A20=1, IF(AND(V20="N",W20="N"),"N", IF(SUM(V20:W20)=2,2, IF( SUM(V20:W20)=1,1,0))))),"")</f>
        <v/>
      </c>
      <c r="V20" s="99" t="str">
        <f>IF(AND(OR($C20&lt;&gt;"",$D20&lt;&gt;""),$A20=1,$AA$6="ДА"),(IF(A20=1,IF(OR(AND(E20=1,'ОТВЕТЫ УЧАЩИХСЯ'!T20=274),AND(E20=2,'ОТВЕТЫ УЧАЩИХСЯ'!T20=3),AND(E20=3,'ОТВЕТЫ УЧАЩИХСЯ'!T20=778),AND(E20=4,'ОТВЕТЫ УЧАЩИХСЯ'!T20=40)),1,IF('ОТВЕТЫ УЧАЩИХСЯ'!T20="N",'ОТВЕТЫ УЧАЩИХСЯ'!T20,0)),"")),"")</f>
        <v/>
      </c>
      <c r="W20" s="99" t="str">
        <f>IF(AND(OR($C20&lt;&gt;"",$D20&lt;&gt;""),$A20=1,$AA$6="ДА"),(IF(A20=1,IF(OR(AND(E20=1,'ОТВЕТЫ УЧАЩИХСЯ'!U20=49),AND(E20=2,'ОТВЕТЫ УЧАЩИХСЯ'!U20=2),AND(E20=3,'ОТВЕТЫ УЧАЩИХСЯ'!U20="САТУРН,ЮПИТЕР"),AND(E20=4,'ОТВЕТЫ УЧАЩИХСЯ'!U20=8)),1,IF('ОТВЕТЫ УЧАЩИХСЯ'!U20="N",'ОТВЕТЫ УЧАЩИХСЯ'!U20,0)),"")),"")</f>
        <v/>
      </c>
      <c r="X20" s="99" t="str">
        <f>IF(AND(OR($C20&lt;&gt;"",$D20&lt;&gt;""),$A20=1,$AA$6="ДА"),(IF(A20=1,IF(OR(AND(E20=1,'ОТВЕТЫ УЧАЩИХСЯ'!V20=20),AND(E20=2,'ОТВЕТЫ УЧАЩИХСЯ'!V20=20),AND(E20=3,'ОТВЕТЫ УЧАЩИХСЯ'!V20=22),AND(E20=4,'ОТВЕТЫ УЧАЩИХСЯ'!V20=85)),2,IF('ОТВЕТЫ УЧАЩИХСЯ'!V20="N",'ОТВЕТЫ УЧАЩИХСЯ'!V20,0)),"")),"")</f>
        <v/>
      </c>
      <c r="Y20" s="99" t="str">
        <f>IF(AND(OR($C20&lt;&gt;"",$D20&lt;&gt;""),$A20=1,$AA$6="ДА"),IF((ISBLANK($D20)),"",IF($A$20=1,'ОТВЕТЫ УЧАЩИХСЯ'!W20,"")),"")</f>
        <v/>
      </c>
      <c r="Z20" s="332" t="str">
        <f>IF( A20=0, "",SUM(F20:U20,X20,Y20) )</f>
        <v/>
      </c>
      <c r="AA20" s="309" t="str">
        <f>IF(AND(OR($C20&lt;&gt;"",$D20&lt;&gt;""),$A20=1,$AA$6="ДА"),Z20/25,"")</f>
        <v/>
      </c>
      <c r="AB20" s="310" t="str">
        <f>IF(A20=0, "",SUM(F20:K20,O20:P20,R20:T20 ) )</f>
        <v/>
      </c>
      <c r="AC20" s="311" t="str">
        <f>IF(AND(OR($C20&lt;&gt;"",$D20&lt;&gt;""),$A20=1,$AA$6="ДА"),AB20/11*100,"")</f>
        <v/>
      </c>
      <c r="AD20" s="310" t="str">
        <f>IF( A20=0, "",SUM(L20:N20,Q20,U20,X20:Y20) )</f>
        <v/>
      </c>
      <c r="AE20" s="311" t="str">
        <f>IF(AND(OR($C20&lt;&gt;"",$D20&lt;&gt;""),$A20=1,$AA$6="ДА"),AD20/14*100,"")</f>
        <v/>
      </c>
      <c r="AF20" s="312" t="str">
        <f>IF(A20=0, "", IF(AND(Z20&gt;=23, Z20&lt;=26),"ВЫСОКИЙ",IF(AND(Z20&gt;=19, Z20&lt;=22),"ПОВЫШЕННЫЙ",IF(AND(Z20&gt;=11, Z20&lt;=18),"БАЗОВЫЙ",IF(AND(Z20&gt;=7, Z20&lt;=10),"НИЗКИЙ","НЕДОСТАТОЧНЫЙ")))))</f>
        <v/>
      </c>
      <c r="AG20" s="273">
        <f>$Z$18</f>
        <v>15.625</v>
      </c>
      <c r="AH20" s="210">
        <f>$AA$19</f>
        <v>0.625</v>
      </c>
      <c r="AI20" s="374">
        <f>$Z$18</f>
        <v>15.625</v>
      </c>
      <c r="AJ20" s="375">
        <f t="shared" ref="AJ20:AJ59" si="4">$AC$19</f>
        <v>74.621212121212125</v>
      </c>
      <c r="AK20" s="6"/>
      <c r="AL20" s="6"/>
      <c r="AM20" s="6"/>
      <c r="AN20" s="6"/>
      <c r="AO20" s="6"/>
      <c r="AP20" s="6"/>
    </row>
    <row r="21" spans="1:42" ht="12.75" customHeight="1" thickBot="1">
      <c r="A21" s="12">
        <f>IF('СПИСОК КЛАССА'!J21&gt;0,1,0)</f>
        <v>0</v>
      </c>
      <c r="B21" s="97">
        <v>2</v>
      </c>
      <c r="C21" s="98">
        <f>IF(NOT(ISBLANK('СПИСОК КЛАССА'!C21)),'СПИСОК КЛАССА'!C21,"")</f>
        <v>2</v>
      </c>
      <c r="D21" s="131" t="str">
        <f>IF(NOT(ISBLANK('СПИСОК КЛАССА'!D21)),IF($A21=1,'СПИСОК КЛАССА'!D21, "УЧЕНИК НЕ ВЫПОЛНЯЛ РАБОТУ"),"")</f>
        <v/>
      </c>
      <c r="E21" s="149">
        <f>IF($C21&lt;&gt;"",'СПИСОК КЛАССА'!J21,"")</f>
        <v>0</v>
      </c>
      <c r="F21" s="99" t="str">
        <f>IF(AND(OR($C21&lt;&gt;"",$D21&lt;&gt;""),$A21=1,$AA$6="ДА"),(IF(A21=1,IF(OR(AND(E21=1,'ОТВЕТЫ УЧАЩИХСЯ'!E21=1),AND(E21=2,'ОТВЕТЫ УЧАЩИХСЯ'!E21=2),AND(E21=3,'ОТВЕТЫ УЧАЩИХСЯ'!E21=4),AND(E21=4,'ОТВЕТЫ УЧАЩИХСЯ'!E21=2)),1,IF('ОТВЕТЫ УЧАЩИХСЯ'!E21="N",'ОТВЕТЫ УЧАЩИХСЯ'!E21,0)),"")),"")</f>
        <v/>
      </c>
      <c r="G21" s="151" t="str">
        <f>IF(AND(OR($C21&lt;&gt;"",$D21&lt;&gt;""),$A21=1,$AA$6="ДА"),(IF(A21=1,IF(OR(AND(E21=1,'ОТВЕТЫ УЧАЩИХСЯ'!F21=4),AND(E21=2,'ОТВЕТЫ УЧАЩИХСЯ'!F21=1),AND(E21=3,'ОТВЕТЫ УЧАЩИХСЯ'!F21=2),AND(E21=4,'ОТВЕТЫ УЧАЩИХСЯ'!F21=3)),1,IF('ОТВЕТЫ УЧАЩИХСЯ'!F21="N",'ОТВЕТЫ УЧАЩИХСЯ'!F21,0)),"")),"")</f>
        <v/>
      </c>
      <c r="H21" s="151" t="str">
        <f>IF(AND(OR($C21&lt;&gt;"",$D21&lt;&gt;""),$A21=1,$AA$6="ДА"),(IF(A21=1,IF(OR(AND(E21=1,'ОТВЕТЫ УЧАЩИХСЯ'!G21=4),AND(E21=2,'ОТВЕТЫ УЧАЩИХСЯ'!G21=3),AND(E21=3,'ОТВЕТЫ УЧАЩИХСЯ'!G21=4),AND(E21=4,'ОТВЕТЫ УЧАЩИХСЯ'!G21=4)),1,IF('ОТВЕТЫ УЧАЩИХСЯ'!G21="N",'ОТВЕТЫ УЧАЩИХСЯ'!G21,0)),"")),"")</f>
        <v/>
      </c>
      <c r="I21" s="151" t="str">
        <f>IF(AND(OR($C21&lt;&gt;"",$D21&lt;&gt;""),$A21=1,$AA$6="ДА"),(IF(A21=1,IF(OR(AND(E21=1,'ОТВЕТЫ УЧАЩИХСЯ'!H21=2),AND(E21=2,'ОТВЕТЫ УЧАЩИХСЯ'!H21=1),AND(E21=3,'ОТВЕТЫ УЧАЩИХСЯ'!H21=3),AND(E21=4,'ОТВЕТЫ УЧАЩИХСЯ'!H21=4)),1,IF('ОТВЕТЫ УЧАЩИХСЯ'!H21="N",'ОТВЕТЫ УЧАЩИХСЯ'!H21,0)),"")),"")</f>
        <v/>
      </c>
      <c r="J21" s="151" t="str">
        <f>IF(AND(OR($C21&lt;&gt;"",$D21&lt;&gt;""),$A21=1,$AA$6="ДА"),(IF(A21=1,IF(OR(AND(E21=1,'ОТВЕТЫ УЧАЩИХСЯ'!I21=3),AND(E21=2,'ОТВЕТЫ УЧАЩИХСЯ'!I21=4),AND(E21=3,'ОТВЕТЫ УЧАЩИХСЯ'!I21=3),AND(E21=4,'ОТВЕТЫ УЧАЩИХСЯ'!I21=1)),1,IF('ОТВЕТЫ УЧАЩИХСЯ'!I21="N",'ОТВЕТЫ УЧАЩИХСЯ'!I21,0)),"")),"")</f>
        <v/>
      </c>
      <c r="K21" s="151" t="str">
        <f>IF(AND(OR($C21&lt;&gt;"",$D21&lt;&gt;""),$A21=1,$AA$6="ДА"),(IF(A21=1,IF(OR(AND(E21=1,'ОТВЕТЫ УЧАЩИХСЯ'!J21=3),AND(E21=2,'ОТВЕТЫ УЧАЩИХСЯ'!J21=3),AND(E21=3,'ОТВЕТЫ УЧАЩИХСЯ'!J21=2),AND(E21=4,'ОТВЕТЫ УЧАЩИХСЯ'!J21=4)),1,IF('ОТВЕТЫ УЧАЩИХСЯ'!J21="N",'ОТВЕТЫ УЧАЩИХСЯ'!J21,0)),"")),"")</f>
        <v/>
      </c>
      <c r="L21" s="151" t="str">
        <f>IF(AND(OR($C21&lt;&gt;"",$D21&lt;&gt;""),$A21=1,$AA$6="ДА"),(IF(A21=1,IF(OR(AND(E21=1,'ОТВЕТЫ УЧАЩИХСЯ'!K21=2),AND(E21=2,'ОТВЕТЫ УЧАЩИХСЯ'!K21=4),AND(E21=3,'ОТВЕТЫ УЧАЩИХСЯ'!K21=1),AND(E21=4,'ОТВЕТЫ УЧАЩИХСЯ'!K21=3)),2,IF('ОТВЕТЫ УЧАЩИХСЯ'!K21="N",'ОТВЕТЫ УЧАЩИХСЯ'!K21,0)),"")),"")</f>
        <v/>
      </c>
      <c r="M21" s="151" t="str">
        <f>IF(AND(OR($C21&lt;&gt;"",$D21&lt;&gt;""),$A21=1,$AA$6="ДА"),(IF(A21=1,IF(OR(AND(E21=1,'ОТВЕТЫ УЧАЩИХСЯ'!L21=4),AND(E21=2,'ОТВЕТЫ УЧАЩИХСЯ'!L21=1),AND(E21=3,'ОТВЕТЫ УЧАЩИХСЯ'!L21=4),AND(E21=4,'ОТВЕТЫ УЧАЩИХСЯ'!L21=2)),2,IF('ОТВЕТЫ УЧАЩИХСЯ'!L21="N",'ОТВЕТЫ УЧАЩИХСЯ'!L21,0)),"")),"")</f>
        <v/>
      </c>
      <c r="N21" s="151" t="str">
        <f>IF(AND(OR($C21&lt;&gt;"",$D21&lt;&gt;""),$A21=1,$AA$6="ДА"),(IF(A21=1,IF(OR(AND(E21=1,'ОТВЕТЫ УЧАЩИХСЯ'!M21=1),AND(E21=2,'ОТВЕТЫ УЧАЩИХСЯ'!M21=3),AND(E21=3,'ОТВЕТЫ УЧАЩИХСЯ'!M21=3),AND(E21=4,'ОТВЕТЫ УЧАЩИХСЯ'!M21=1)),2,IF('ОТВЕТЫ УЧАЩИХСЯ'!M21="N",'ОТВЕТЫ УЧАЩИХСЯ'!M21,0)),"")),"")</f>
        <v/>
      </c>
      <c r="O21" s="151" t="str">
        <f>IF(AND(OR($C21&lt;&gt;"",$D21&lt;&gt;""),$A21=1,$AA$6="ДА"),(IF(A21=1,IF(OR(AND(E21=1,'ОТВЕТЫ УЧАЩИХСЯ'!N21=2),AND(E21=2,'ОТВЕТЫ УЧАЩИХСЯ'!N21=1),AND(E21=3,'ОТВЕТЫ УЧАЩИХСЯ'!N21=3),AND(E21=4,'ОТВЕТЫ УЧАЩИХСЯ'!N21=3)),1,IF('ОТВЕТЫ УЧАЩИХСЯ'!N21="N",'ОТВЕТЫ УЧАЩИХСЯ'!N21,0)),"")),"")</f>
        <v/>
      </c>
      <c r="P21" s="151" t="str">
        <f>IF(AND(OR($C21&lt;&gt;"",$D21&lt;&gt;""),$A21=1,$AA$6="ДА"),(IF(A21=1,IF(OR(AND(E21=1,'ОТВЕТЫ УЧАЩИХСЯ'!O21=3),AND(E21=2,'ОТВЕТЫ УЧАЩИХСЯ'!O21=4),AND(E21=3,'ОТВЕТЫ УЧАЩИХСЯ'!O21=2),AND(E21=4,'ОТВЕТЫ УЧАЩИХСЯ'!O21=2)),1,IF('ОТВЕТЫ УЧАЩИХСЯ'!O21="N",'ОТВЕТЫ УЧАЩИХСЯ'!O21,0)),"")),"")</f>
        <v/>
      </c>
      <c r="Q21" s="151" t="str">
        <f>IF(AND(OR($C21&lt;&gt;"",$D21&lt;&gt;""),$A21=1,$AA$6="ДА"),(IF(A21=1,IF(OR(AND(E21=1,'ОТВЕТЫ УЧАЩИХСЯ'!P21=4),AND(E21=2,'ОТВЕТЫ УЧАЩИХСЯ'!P21=2),AND(E21=3,'ОТВЕТЫ УЧАЩИХСЯ'!P21=3),AND(E21=4,'ОТВЕТЫ УЧАЩИХСЯ'!P21=2)),2,IF('ОТВЕТЫ УЧАЩИХСЯ'!P21="N",'ОТВЕТЫ УЧАЩИХСЯ'!P21,0)),"")),"")</f>
        <v/>
      </c>
      <c r="R21" s="151" t="str">
        <f>IF(AND(OR($C21&lt;&gt;"",$D21&lt;&gt;""),$A21=1,$AA$6="ДА"),(IF(A21=1,IF(OR(AND(E21=1,'ОТВЕТЫ УЧАЩИХСЯ'!Q21=4),AND(E21=2,'ОТВЕТЫ УЧАЩИХСЯ'!Q21=1),AND(E21=3,'ОТВЕТЫ УЧАЩИХСЯ'!Q21=3),AND(E21=4,'ОТВЕТЫ УЧАЩИХСЯ'!Q21=4)),1,IF('ОТВЕТЫ УЧАЩИХСЯ'!Q21="N",'ОТВЕТЫ УЧАЩИХСЯ'!Q21,0)),"")),"")</f>
        <v/>
      </c>
      <c r="S21" s="151" t="str">
        <f>IF(AND(OR($C21&lt;&gt;"",$D21&lt;&gt;""),$A21=1,$AA$6="ДА"),(IF(A21=1,IF(OR(AND(E21=1,'ОТВЕТЫ УЧАЩИХСЯ'!R21=3),AND(E21=2,'ОТВЕТЫ УЧАЩИХСЯ'!R21=4),AND(E21=3,'ОТВЕТЫ УЧАЩИХСЯ'!R21=2),AND(E21=4,'ОТВЕТЫ УЧАЩИХСЯ'!R21=1)),1,IF('ОТВЕТЫ УЧАЩИХСЯ'!R21="N",'ОТВЕТЫ УЧАЩИХСЯ'!R21,0)),"")),"")</f>
        <v/>
      </c>
      <c r="T21" s="151" t="str">
        <f>IF(AND(OR($C21&lt;&gt;"",$D21&lt;&gt;""),$A21=1,$AA$6="ДА"),(IF(A21=1,IF(OR(AND(E21=1,'ОТВЕТЫ УЧАЩИХСЯ'!S21=1),AND(E21=2,'ОТВЕТЫ УЧАЩИХСЯ'!S21=2),AND(E21=3,'ОТВЕТЫ УЧАЩИХСЯ'!S21=2),AND(E21=4,'ОТВЕТЫ УЧАЩИХСЯ'!S21=3)),1,IF('ОТВЕТЫ УЧАЩИХСЯ'!S21="N",'ОТВЕТЫ УЧАЩИХСЯ'!S21,0)),"")),"")</f>
        <v/>
      </c>
      <c r="U21" s="99" t="str">
        <f t="shared" ref="U21:U58" si="5">IF(AND(OR($C21&lt;&gt;"",$D21&lt;&gt;""),$A21=1,$AA$6="ДА"),(IF(A21=1, IF(AND(V21="N",W21="N"),"N", IF(SUM(V21:W21)=2,2, IF( SUM(V21:W21)=1,1,0))))),"")</f>
        <v/>
      </c>
      <c r="V21" s="99" t="str">
        <f>IF(AND(OR($C21&lt;&gt;"",$D21&lt;&gt;""),$A21=1,$AA$6="ДА"),(IF(A21=1,IF(OR(AND(E21=1,'ОТВЕТЫ УЧАЩИХСЯ'!T21=274),AND(E21=2,'ОТВЕТЫ УЧАЩИХСЯ'!T21=3),AND(E21=3,'ОТВЕТЫ УЧАЩИХСЯ'!T21=778),AND(E21=4,'ОТВЕТЫ УЧАЩИХСЯ'!T21=40)),1,IF('ОТВЕТЫ УЧАЩИХСЯ'!T21="N",'ОТВЕТЫ УЧАЩИХСЯ'!T21,0)),"")),"")</f>
        <v/>
      </c>
      <c r="W21" s="99" t="str">
        <f>IF(AND(OR($C21&lt;&gt;"",$D21&lt;&gt;""),$A21=1,$AA$6="ДА"),(IF(A21=1,IF(OR(AND(E21=1,'ОТВЕТЫ УЧАЩИХСЯ'!U21=49),AND(E21=2,'ОТВЕТЫ УЧАЩИХСЯ'!U21=2),AND(E21=3,'ОТВЕТЫ УЧАЩИХСЯ'!U21="САТУРН,ЮПИТЕР"),AND(E21=4,'ОТВЕТЫ УЧАЩИХСЯ'!U21=8)),1,IF('ОТВЕТЫ УЧАЩИХСЯ'!U21="N",'ОТВЕТЫ УЧАЩИХСЯ'!U21,0)),"")),"")</f>
        <v/>
      </c>
      <c r="X21" s="99" t="str">
        <f>IF(AND(OR($C21&lt;&gt;"",$D21&lt;&gt;""),$A21=1,$AA$6="ДА"),(IF(A21=1,IF(OR(AND(E21=1,'ОТВЕТЫ УЧАЩИХСЯ'!V21=20),AND(E21=2,'ОТВЕТЫ УЧАЩИХСЯ'!V21=20),AND(E21=3,'ОТВЕТЫ УЧАЩИХСЯ'!V21=22),AND(E21=4,'ОТВЕТЫ УЧАЩИХСЯ'!V21=85)),2,IF('ОТВЕТЫ УЧАЩИХСЯ'!V21="N",'ОТВЕТЫ УЧАЩИХСЯ'!V21,0)),"")),"")</f>
        <v/>
      </c>
      <c r="Y21" s="99" t="str">
        <f>IF(AND(OR($C21&lt;&gt;"",$D21&lt;&gt;""),$A21=1,$AA$6="ДА"),IF((ISBLANK($D21)),"",IF($A$20=1,'ОТВЕТЫ УЧАЩИХСЯ'!W21,"")),"")</f>
        <v/>
      </c>
      <c r="Z21" s="332" t="str">
        <f t="shared" ref="Z21:Z58" si="6">IF( A21=0, "",SUM(F21:U21,X21,Y21) )</f>
        <v/>
      </c>
      <c r="AA21" s="309" t="str">
        <f t="shared" ref="AA21:AA59" si="7">IF(AND(OR($C21&lt;&gt;"",$D21&lt;&gt;""),$A21=1,$AA$6="ДА"),Z21/25,"")</f>
        <v/>
      </c>
      <c r="AB21" s="310" t="str">
        <f t="shared" ref="AB21:AB59" si="8">IF(A21=0, "",SUM(F21:K21,O21:P21,R21:T21 ) )</f>
        <v/>
      </c>
      <c r="AC21" s="311" t="str">
        <f t="shared" ref="AC21:AC59" si="9">IF(AND(OR($C21&lt;&gt;"",$D21&lt;&gt;""),$A21=1,$AA$6="ДА"),AB21/11*100,"")</f>
        <v/>
      </c>
      <c r="AD21" s="310" t="str">
        <f t="shared" ref="AD21:AD59" si="10">IF( A21=0, "",SUM(L21:N21,Q21,U21,X21:Y21) )</f>
        <v/>
      </c>
      <c r="AE21" s="311" t="str">
        <f t="shared" ref="AE21:AE59" si="11">IF(AND(OR($C21&lt;&gt;"",$D21&lt;&gt;""),$A21=1,$AA$6="ДА"),AD21/14*100,"")</f>
        <v/>
      </c>
      <c r="AF21" s="312" t="str">
        <f t="shared" ref="AF21:AF59" si="12">IF(A21=0, "", IF(AND(Z21&gt;=23, Z21&lt;=26),"ВЫСОКИЙ",IF(AND(Z21&gt;=19, Z21&lt;=22),"ПОВЫШЕННЫЙ",IF(AND(Z21&gt;=11, Z21&lt;=18),"БАЗОВЫЙ",IF(AND(Z21&gt;=7, Z21&lt;=10),"НИЗКИЙ","НЕДОСТАТОЧНЫЙ")))))</f>
        <v/>
      </c>
      <c r="AG21" s="273">
        <f t="shared" ref="AG21:AG59" si="13">$Z$18</f>
        <v>15.625</v>
      </c>
      <c r="AH21" s="210">
        <f t="shared" ref="AH21:AH59" si="14">$AA$19</f>
        <v>0.625</v>
      </c>
      <c r="AI21" s="374">
        <f t="shared" ref="AI21:AI59" si="15">$Z$18</f>
        <v>15.625</v>
      </c>
      <c r="AJ21" s="375">
        <f t="shared" si="4"/>
        <v>74.621212121212125</v>
      </c>
      <c r="AK21" s="6"/>
      <c r="AL21" s="6"/>
      <c r="AM21" s="6"/>
      <c r="AN21" s="6"/>
      <c r="AO21" s="6"/>
      <c r="AP21" s="6"/>
    </row>
    <row r="22" spans="1:42" ht="12.75" customHeight="1" thickBot="1">
      <c r="A22" s="12">
        <f>IF('СПИСОК КЛАССА'!J22&gt;0,1,0)</f>
        <v>1</v>
      </c>
      <c r="B22" s="97">
        <v>3</v>
      </c>
      <c r="C22" s="98">
        <f>IF(NOT(ISBLANK('СПИСОК КЛАССА'!C22)),'СПИСОК КЛАССА'!C22,"")</f>
        <v>3</v>
      </c>
      <c r="D22" s="131" t="str">
        <f>IF(NOT(ISBLANK('СПИСОК КЛАССА'!D22)),IF($A22=1,'СПИСОК КЛАССА'!D22, "УЧЕНИК НЕ ВЫПОЛНЯЛ РАБОТУ"),"")</f>
        <v/>
      </c>
      <c r="E22" s="149">
        <f>IF($C22&lt;&gt;"",'СПИСОК КЛАССА'!J22,"")</f>
        <v>3</v>
      </c>
      <c r="F22" s="99">
        <f>IF(AND(OR($C22&lt;&gt;"",$D22&lt;&gt;""),$A22=1,$AA$6="ДА"),(IF(A22=1,IF(OR(AND(E22=1,'ОТВЕТЫ УЧАЩИХСЯ'!E22=1),AND(E22=2,'ОТВЕТЫ УЧАЩИХСЯ'!E22=2),AND(E22=3,'ОТВЕТЫ УЧАЩИХСЯ'!E22=4),AND(E22=4,'ОТВЕТЫ УЧАЩИХСЯ'!E22=2)),1,IF('ОТВЕТЫ УЧАЩИХСЯ'!E22="N",'ОТВЕТЫ УЧАЩИХСЯ'!E22,0)),"")),"")</f>
        <v>1</v>
      </c>
      <c r="G22" s="151">
        <f>IF(AND(OR($C22&lt;&gt;"",$D22&lt;&gt;""),$A22=1,$AA$6="ДА"),(IF(A22=1,IF(OR(AND(E22=1,'ОТВЕТЫ УЧАЩИХСЯ'!F22=4),AND(E22=2,'ОТВЕТЫ УЧАЩИХСЯ'!F22=1),AND(E22=3,'ОТВЕТЫ УЧАЩИХСЯ'!F22=2),AND(E22=4,'ОТВЕТЫ УЧАЩИХСЯ'!F22=3)),1,IF('ОТВЕТЫ УЧАЩИХСЯ'!F22="N",'ОТВЕТЫ УЧАЩИХСЯ'!F22,0)),"")),"")</f>
        <v>1</v>
      </c>
      <c r="H22" s="151">
        <f>IF(AND(OR($C22&lt;&gt;"",$D22&lt;&gt;""),$A22=1,$AA$6="ДА"),(IF(A22=1,IF(OR(AND(E22=1,'ОТВЕТЫ УЧАЩИХСЯ'!G22=4),AND(E22=2,'ОТВЕТЫ УЧАЩИХСЯ'!G22=3),AND(E22=3,'ОТВЕТЫ УЧАЩИХСЯ'!G22=4),AND(E22=4,'ОТВЕТЫ УЧАЩИХСЯ'!G22=4)),1,IF('ОТВЕТЫ УЧАЩИХСЯ'!G22="N",'ОТВЕТЫ УЧАЩИХСЯ'!G22,0)),"")),"")</f>
        <v>1</v>
      </c>
      <c r="I22" s="151">
        <f>IF(AND(OR($C22&lt;&gt;"",$D22&lt;&gt;""),$A22=1,$AA$6="ДА"),(IF(A22=1,IF(OR(AND(E22=1,'ОТВЕТЫ УЧАЩИХСЯ'!H22=2),AND(E22=2,'ОТВЕТЫ УЧАЩИХСЯ'!H22=1),AND(E22=3,'ОТВЕТЫ УЧАЩИХСЯ'!H22=3),AND(E22=4,'ОТВЕТЫ УЧАЩИХСЯ'!H22=4)),1,IF('ОТВЕТЫ УЧАЩИХСЯ'!H22="N",'ОТВЕТЫ УЧАЩИХСЯ'!H22,0)),"")),"")</f>
        <v>1</v>
      </c>
      <c r="J22" s="151">
        <f>IF(AND(OR($C22&lt;&gt;"",$D22&lt;&gt;""),$A22=1,$AA$6="ДА"),(IF(A22=1,IF(OR(AND(E22=1,'ОТВЕТЫ УЧАЩИХСЯ'!I22=3),AND(E22=2,'ОТВЕТЫ УЧАЩИХСЯ'!I22=4),AND(E22=3,'ОТВЕТЫ УЧАЩИХСЯ'!I22=3),AND(E22=4,'ОТВЕТЫ УЧАЩИХСЯ'!I22=1)),1,IF('ОТВЕТЫ УЧАЩИХСЯ'!I22="N",'ОТВЕТЫ УЧАЩИХСЯ'!I22,0)),"")),"")</f>
        <v>1</v>
      </c>
      <c r="K22" s="151">
        <f>IF(AND(OR($C22&lt;&gt;"",$D22&lt;&gt;""),$A22=1,$AA$6="ДА"),(IF(A22=1,IF(OR(AND(E22=1,'ОТВЕТЫ УЧАЩИХСЯ'!J22=3),AND(E22=2,'ОТВЕТЫ УЧАЩИХСЯ'!J22=3),AND(E22=3,'ОТВЕТЫ УЧАЩИХСЯ'!J22=2),AND(E22=4,'ОТВЕТЫ УЧАЩИХСЯ'!J22=4)),1,IF('ОТВЕТЫ УЧАЩИХСЯ'!J22="N",'ОТВЕТЫ УЧАЩИХСЯ'!J22,0)),"")),"")</f>
        <v>1</v>
      </c>
      <c r="L22" s="151">
        <f>IF(AND(OR($C22&lt;&gt;"",$D22&lt;&gt;""),$A22=1,$AA$6="ДА"),(IF(A22=1,IF(OR(AND(E22=1,'ОТВЕТЫ УЧАЩИХСЯ'!K22=2),AND(E22=2,'ОТВЕТЫ УЧАЩИХСЯ'!K22=4),AND(E22=3,'ОТВЕТЫ УЧАЩИХСЯ'!K22=1),AND(E22=4,'ОТВЕТЫ УЧАЩИХСЯ'!K22=3)),2,IF('ОТВЕТЫ УЧАЩИХСЯ'!K22="N",'ОТВЕТЫ УЧАЩИХСЯ'!K22,0)),"")),"")</f>
        <v>0</v>
      </c>
      <c r="M22" s="151">
        <f>IF(AND(OR($C22&lt;&gt;"",$D22&lt;&gt;""),$A22=1,$AA$6="ДА"),(IF(A22=1,IF(OR(AND(E22=1,'ОТВЕТЫ УЧАЩИХСЯ'!L22=4),AND(E22=2,'ОТВЕТЫ УЧАЩИХСЯ'!L22=1),AND(E22=3,'ОТВЕТЫ УЧАЩИХСЯ'!L22=4),AND(E22=4,'ОТВЕТЫ УЧАЩИХСЯ'!L22=2)),2,IF('ОТВЕТЫ УЧАЩИХСЯ'!L22="N",'ОТВЕТЫ УЧАЩИХСЯ'!L22,0)),"")),"")</f>
        <v>2</v>
      </c>
      <c r="N22" s="151">
        <f>IF(AND(OR($C22&lt;&gt;"",$D22&lt;&gt;""),$A22=1,$AA$6="ДА"),(IF(A22=1,IF(OR(AND(E22=1,'ОТВЕТЫ УЧАЩИХСЯ'!M22=1),AND(E22=2,'ОТВЕТЫ УЧАЩИХСЯ'!M22=3),AND(E22=3,'ОТВЕТЫ УЧАЩИХСЯ'!M22=3),AND(E22=4,'ОТВЕТЫ УЧАЩИХСЯ'!M22=1)),2,IF('ОТВЕТЫ УЧАЩИХСЯ'!M22="N",'ОТВЕТЫ УЧАЩИХСЯ'!M22,0)),"")),"")</f>
        <v>0</v>
      </c>
      <c r="O22" s="151">
        <f>IF(AND(OR($C22&lt;&gt;"",$D22&lt;&gt;""),$A22=1,$AA$6="ДА"),(IF(A22=1,IF(OR(AND(E22=1,'ОТВЕТЫ УЧАЩИХСЯ'!N22=2),AND(E22=2,'ОТВЕТЫ УЧАЩИХСЯ'!N22=1),AND(E22=3,'ОТВЕТЫ УЧАЩИХСЯ'!N22=3),AND(E22=4,'ОТВЕТЫ УЧАЩИХСЯ'!N22=3)),1,IF('ОТВЕТЫ УЧАЩИХСЯ'!N22="N",'ОТВЕТЫ УЧАЩИХСЯ'!N22,0)),"")),"")</f>
        <v>1</v>
      </c>
      <c r="P22" s="151">
        <f>IF(AND(OR($C22&lt;&gt;"",$D22&lt;&gt;""),$A22=1,$AA$6="ДА"),(IF(A22=1,IF(OR(AND(E22=1,'ОТВЕТЫ УЧАЩИХСЯ'!O22=3),AND(E22=2,'ОТВЕТЫ УЧАЩИХСЯ'!O22=4),AND(E22=3,'ОТВЕТЫ УЧАЩИХСЯ'!O22=2),AND(E22=4,'ОТВЕТЫ УЧАЩИХСЯ'!O22=2)),1,IF('ОТВЕТЫ УЧАЩИХСЯ'!O22="N",'ОТВЕТЫ УЧАЩИХСЯ'!O22,0)),"")),"")</f>
        <v>0</v>
      </c>
      <c r="Q22" s="151">
        <f>IF(AND(OR($C22&lt;&gt;"",$D22&lt;&gt;""),$A22=1,$AA$6="ДА"),(IF(A22=1,IF(OR(AND(E22=1,'ОТВЕТЫ УЧАЩИХСЯ'!P22=4),AND(E22=2,'ОТВЕТЫ УЧАЩИХСЯ'!P22=2),AND(E22=3,'ОТВЕТЫ УЧАЩИХСЯ'!P22=3),AND(E22=4,'ОТВЕТЫ УЧАЩИХСЯ'!P22=2)),2,IF('ОТВЕТЫ УЧАЩИХСЯ'!P22="N",'ОТВЕТЫ УЧАЩИХСЯ'!P22,0)),"")),"")</f>
        <v>2</v>
      </c>
      <c r="R22" s="151">
        <f>IF(AND(OR($C22&lt;&gt;"",$D22&lt;&gt;""),$A22=1,$AA$6="ДА"),(IF(A22=1,IF(OR(AND(E22=1,'ОТВЕТЫ УЧАЩИХСЯ'!Q22=4),AND(E22=2,'ОТВЕТЫ УЧАЩИХСЯ'!Q22=1),AND(E22=3,'ОТВЕТЫ УЧАЩИХСЯ'!Q22=3),AND(E22=4,'ОТВЕТЫ УЧАЩИХСЯ'!Q22=4)),1,IF('ОТВЕТЫ УЧАЩИХСЯ'!Q22="N",'ОТВЕТЫ УЧАЩИХСЯ'!Q22,0)),"")),"")</f>
        <v>1</v>
      </c>
      <c r="S22" s="151">
        <f>IF(AND(OR($C22&lt;&gt;"",$D22&lt;&gt;""),$A22=1,$AA$6="ДА"),(IF(A22=1,IF(OR(AND(E22=1,'ОТВЕТЫ УЧАЩИХСЯ'!R22=3),AND(E22=2,'ОТВЕТЫ УЧАЩИХСЯ'!R22=4),AND(E22=3,'ОТВЕТЫ УЧАЩИХСЯ'!R22=2),AND(E22=4,'ОТВЕТЫ УЧАЩИХСЯ'!R22=1)),1,IF('ОТВЕТЫ УЧАЩИХСЯ'!R22="N",'ОТВЕТЫ УЧАЩИХСЯ'!R22,0)),"")),"")</f>
        <v>0</v>
      </c>
      <c r="T22" s="151">
        <f>IF(AND(OR($C22&lt;&gt;"",$D22&lt;&gt;""),$A22=1,$AA$6="ДА"),(IF(A22=1,IF(OR(AND(E22=1,'ОТВЕТЫ УЧАЩИХСЯ'!S22=1),AND(E22=2,'ОТВЕТЫ УЧАЩИХСЯ'!S22=2),AND(E22=3,'ОТВЕТЫ УЧАЩИХСЯ'!S22=2),AND(E22=4,'ОТВЕТЫ УЧАЩИХСЯ'!S22=3)),1,IF('ОТВЕТЫ УЧАЩИХСЯ'!S22="N",'ОТВЕТЫ УЧАЩИХСЯ'!S22,0)),"")),"")</f>
        <v>1</v>
      </c>
      <c r="U22" s="99">
        <f t="shared" si="5"/>
        <v>1</v>
      </c>
      <c r="V22" s="99">
        <f>IF(AND(OR($C22&lt;&gt;"",$D22&lt;&gt;""),$A22=1,$AA$6="ДА"),(IF(A22=1,IF(OR(AND(E22=1,'ОТВЕТЫ УЧАЩИХСЯ'!T22=274),AND(E22=2,'ОТВЕТЫ УЧАЩИХСЯ'!T22=3),AND(E22=3,'ОТВЕТЫ УЧАЩИХСЯ'!T22=778),AND(E22=4,'ОТВЕТЫ УЧАЩИХСЯ'!T22=40)),1,IF('ОТВЕТЫ УЧАЩИХСЯ'!T22="N",'ОТВЕТЫ УЧАЩИХСЯ'!T22,0)),"")),"")</f>
        <v>1</v>
      </c>
      <c r="W22" s="99">
        <f>IF(AND(OR($C22&lt;&gt;"",$D22&lt;&gt;""),$A22=1,$AA$6="ДА"),(IF(A22=1,IF(OR(AND(E22=1,'ОТВЕТЫ УЧАЩИХСЯ'!U22=49),AND(E22=2,'ОТВЕТЫ УЧАЩИХСЯ'!U22=2),AND(E22=3,'ОТВЕТЫ УЧАЩИХСЯ'!U22="САТУРН,ЮПИТЕР"),AND(E22=4,'ОТВЕТЫ УЧАЩИХСЯ'!U22=8)),1,IF('ОТВЕТЫ УЧАЩИХСЯ'!U22="N",'ОТВЕТЫ УЧАЩИХСЯ'!U22,0)),"")),"")</f>
        <v>0</v>
      </c>
      <c r="X22" s="99">
        <f>IF(AND(OR($C22&lt;&gt;"",$D22&lt;&gt;""),$A22=1,$AA$6="ДА"),(IF(A22=1,IF(OR(AND(E22=1,'ОТВЕТЫ УЧАЩИХСЯ'!V22=20),AND(E22=2,'ОТВЕТЫ УЧАЩИХСЯ'!V22=20),AND(E22=3,'ОТВЕТЫ УЧАЩИХСЯ'!V22=22),AND(E22=4,'ОТВЕТЫ УЧАЩИХСЯ'!V22=85)),2,IF('ОТВЕТЫ УЧАЩИХСЯ'!V22="N",'ОТВЕТЫ УЧАЩИХСЯ'!V22,0)),"")),"")</f>
        <v>2</v>
      </c>
      <c r="Y22" s="99" t="str">
        <f>IF(AND(OR($C22&lt;&gt;"",$D22&lt;&gt;""),$A22=1,$AA$6="ДА"),IF((ISBLANK($D22)),"",IF($A$20=1,'ОТВЕТЫ УЧАЩИХСЯ'!W22,"")),"")</f>
        <v/>
      </c>
      <c r="Z22" s="332">
        <f t="shared" si="6"/>
        <v>16</v>
      </c>
      <c r="AA22" s="309">
        <f t="shared" si="7"/>
        <v>0.64</v>
      </c>
      <c r="AB22" s="310">
        <f t="shared" si="8"/>
        <v>9</v>
      </c>
      <c r="AC22" s="311">
        <f t="shared" si="9"/>
        <v>81.818181818181827</v>
      </c>
      <c r="AD22" s="310">
        <f t="shared" si="10"/>
        <v>7</v>
      </c>
      <c r="AE22" s="311">
        <f t="shared" si="11"/>
        <v>50</v>
      </c>
      <c r="AF22" s="312" t="str">
        <f t="shared" si="12"/>
        <v>БАЗОВЫЙ</v>
      </c>
      <c r="AG22" s="273">
        <f t="shared" si="13"/>
        <v>15.625</v>
      </c>
      <c r="AH22" s="210">
        <f t="shared" si="14"/>
        <v>0.625</v>
      </c>
      <c r="AI22" s="374">
        <f t="shared" si="15"/>
        <v>15.625</v>
      </c>
      <c r="AJ22" s="375">
        <f t="shared" si="4"/>
        <v>74.621212121212125</v>
      </c>
      <c r="AK22" s="6"/>
      <c r="AL22" s="6"/>
      <c r="AM22" s="6"/>
      <c r="AN22" s="6"/>
      <c r="AO22" s="6"/>
      <c r="AP22" s="6"/>
    </row>
    <row r="23" spans="1:42" ht="12.75" customHeight="1" thickBot="1">
      <c r="A23" s="12">
        <f>IF('СПИСОК КЛАССА'!J23&gt;0,1,0)</f>
        <v>1</v>
      </c>
      <c r="B23" s="97">
        <v>4</v>
      </c>
      <c r="C23" s="98">
        <f>IF(NOT(ISBLANK('СПИСОК КЛАССА'!C23)),'СПИСОК КЛАССА'!C23,"")</f>
        <v>4</v>
      </c>
      <c r="D23" s="131" t="str">
        <f>IF(NOT(ISBLANK('СПИСОК КЛАССА'!D23)),IF($A23=1,'СПИСОК КЛАССА'!D23, "УЧЕНИК НЕ ВЫПОЛНЯЛ РАБОТУ"),"")</f>
        <v/>
      </c>
      <c r="E23" s="149">
        <f>IF($C23&lt;&gt;"",'СПИСОК КЛАССА'!J23,"")</f>
        <v>4</v>
      </c>
      <c r="F23" s="99">
        <f>IF(AND(OR($C23&lt;&gt;"",$D23&lt;&gt;""),$A23=1,$AA$6="ДА"),(IF(A23=1,IF(OR(AND(E23=1,'ОТВЕТЫ УЧАЩИХСЯ'!E23=1),AND(E23=2,'ОТВЕТЫ УЧАЩИХСЯ'!E23=2),AND(E23=3,'ОТВЕТЫ УЧАЩИХСЯ'!E23=4),AND(E23=4,'ОТВЕТЫ УЧАЩИХСЯ'!E23=2)),1,IF('ОТВЕТЫ УЧАЩИХСЯ'!E23="N",'ОТВЕТЫ УЧАЩИХСЯ'!E23,0)),"")),"")</f>
        <v>1</v>
      </c>
      <c r="G23" s="151">
        <f>IF(AND(OR($C23&lt;&gt;"",$D23&lt;&gt;""),$A23=1,$AA$6="ДА"),(IF(A23=1,IF(OR(AND(E23=1,'ОТВЕТЫ УЧАЩИХСЯ'!F23=4),AND(E23=2,'ОТВЕТЫ УЧАЩИХСЯ'!F23=1),AND(E23=3,'ОТВЕТЫ УЧАЩИХСЯ'!F23=2),AND(E23=4,'ОТВЕТЫ УЧАЩИХСЯ'!F23=3)),1,IF('ОТВЕТЫ УЧАЩИХСЯ'!F23="N",'ОТВЕТЫ УЧАЩИХСЯ'!F23,0)),"")),"")</f>
        <v>1</v>
      </c>
      <c r="H23" s="151">
        <f>IF(AND(OR($C23&lt;&gt;"",$D23&lt;&gt;""),$A23=1,$AA$6="ДА"),(IF(A23=1,IF(OR(AND(E23=1,'ОТВЕТЫ УЧАЩИХСЯ'!G23=4),AND(E23=2,'ОТВЕТЫ УЧАЩИХСЯ'!G23=3),AND(E23=3,'ОТВЕТЫ УЧАЩИХСЯ'!G23=4),AND(E23=4,'ОТВЕТЫ УЧАЩИХСЯ'!G23=4)),1,IF('ОТВЕТЫ УЧАЩИХСЯ'!G23="N",'ОТВЕТЫ УЧАЩИХСЯ'!G23,0)),"")),"")</f>
        <v>1</v>
      </c>
      <c r="I23" s="151">
        <f>IF(AND(OR($C23&lt;&gt;"",$D23&lt;&gt;""),$A23=1,$AA$6="ДА"),(IF(A23=1,IF(OR(AND(E23=1,'ОТВЕТЫ УЧАЩИХСЯ'!H23=2),AND(E23=2,'ОТВЕТЫ УЧАЩИХСЯ'!H23=1),AND(E23=3,'ОТВЕТЫ УЧАЩИХСЯ'!H23=3),AND(E23=4,'ОТВЕТЫ УЧАЩИХСЯ'!H23=4)),1,IF('ОТВЕТЫ УЧАЩИХСЯ'!H23="N",'ОТВЕТЫ УЧАЩИХСЯ'!H23,0)),"")),"")</f>
        <v>1</v>
      </c>
      <c r="J23" s="151">
        <f>IF(AND(OR($C23&lt;&gt;"",$D23&lt;&gt;""),$A23=1,$AA$6="ДА"),(IF(A23=1,IF(OR(AND(E23=1,'ОТВЕТЫ УЧАЩИХСЯ'!I23=3),AND(E23=2,'ОТВЕТЫ УЧАЩИХСЯ'!I23=4),AND(E23=3,'ОТВЕТЫ УЧАЩИХСЯ'!I23=3),AND(E23=4,'ОТВЕТЫ УЧАЩИХСЯ'!I23=1)),1,IF('ОТВЕТЫ УЧАЩИХСЯ'!I23="N",'ОТВЕТЫ УЧАЩИХСЯ'!I23,0)),"")),"")</f>
        <v>1</v>
      </c>
      <c r="K23" s="151">
        <f>IF(AND(OR($C23&lt;&gt;"",$D23&lt;&gt;""),$A23=1,$AA$6="ДА"),(IF(A23=1,IF(OR(AND(E23=1,'ОТВЕТЫ УЧАЩИХСЯ'!J23=3),AND(E23=2,'ОТВЕТЫ УЧАЩИХСЯ'!J23=3),AND(E23=3,'ОТВЕТЫ УЧАЩИХСЯ'!J23=2),AND(E23=4,'ОТВЕТЫ УЧАЩИХСЯ'!J23=4)),1,IF('ОТВЕТЫ УЧАЩИХСЯ'!J23="N",'ОТВЕТЫ УЧАЩИХСЯ'!J23,0)),"")),"")</f>
        <v>1</v>
      </c>
      <c r="L23" s="151">
        <f>IF(AND(OR($C23&lt;&gt;"",$D23&lt;&gt;""),$A23=1,$AA$6="ДА"),(IF(A23=1,IF(OR(AND(E23=1,'ОТВЕТЫ УЧАЩИХСЯ'!K23=2),AND(E23=2,'ОТВЕТЫ УЧАЩИХСЯ'!K23=4),AND(E23=3,'ОТВЕТЫ УЧАЩИХСЯ'!K23=1),AND(E23=4,'ОТВЕТЫ УЧАЩИХСЯ'!K23=3)),2,IF('ОТВЕТЫ УЧАЩИХСЯ'!K23="N",'ОТВЕТЫ УЧАЩИХСЯ'!K23,0)),"")),"")</f>
        <v>0</v>
      </c>
      <c r="M23" s="151">
        <f>IF(AND(OR($C23&lt;&gt;"",$D23&lt;&gt;""),$A23=1,$AA$6="ДА"),(IF(A23=1,IF(OR(AND(E23=1,'ОТВЕТЫ УЧАЩИХСЯ'!L23=4),AND(E23=2,'ОТВЕТЫ УЧАЩИХСЯ'!L23=1),AND(E23=3,'ОТВЕТЫ УЧАЩИХСЯ'!L23=4),AND(E23=4,'ОТВЕТЫ УЧАЩИХСЯ'!L23=2)),2,IF('ОТВЕТЫ УЧАЩИХСЯ'!L23="N",'ОТВЕТЫ УЧАЩИХСЯ'!L23,0)),"")),"")</f>
        <v>0</v>
      </c>
      <c r="N23" s="151">
        <f>IF(AND(OR($C23&lt;&gt;"",$D23&lt;&gt;""),$A23=1,$AA$6="ДА"),(IF(A23=1,IF(OR(AND(E23=1,'ОТВЕТЫ УЧАЩИХСЯ'!M23=1),AND(E23=2,'ОТВЕТЫ УЧАЩИХСЯ'!M23=3),AND(E23=3,'ОТВЕТЫ УЧАЩИХСЯ'!M23=3),AND(E23=4,'ОТВЕТЫ УЧАЩИХСЯ'!M23=1)),2,IF('ОТВЕТЫ УЧАЩИХСЯ'!M23="N",'ОТВЕТЫ УЧАЩИХСЯ'!M23,0)),"")),"")</f>
        <v>2</v>
      </c>
      <c r="O23" s="151">
        <f>IF(AND(OR($C23&lt;&gt;"",$D23&lt;&gt;""),$A23=1,$AA$6="ДА"),(IF(A23=1,IF(OR(AND(E23=1,'ОТВЕТЫ УЧАЩИХСЯ'!N23=2),AND(E23=2,'ОТВЕТЫ УЧАЩИХСЯ'!N23=1),AND(E23=3,'ОТВЕТЫ УЧАЩИХСЯ'!N23=3),AND(E23=4,'ОТВЕТЫ УЧАЩИХСЯ'!N23=3)),1,IF('ОТВЕТЫ УЧАЩИХСЯ'!N23="N",'ОТВЕТЫ УЧАЩИХСЯ'!N23,0)),"")),"")</f>
        <v>0</v>
      </c>
      <c r="P23" s="151">
        <f>IF(AND(OR($C23&lt;&gt;"",$D23&lt;&gt;""),$A23=1,$AA$6="ДА"),(IF(A23=1,IF(OR(AND(E23=1,'ОТВЕТЫ УЧАЩИХСЯ'!O23=3),AND(E23=2,'ОТВЕТЫ УЧАЩИХСЯ'!O23=4),AND(E23=3,'ОТВЕТЫ УЧАЩИХСЯ'!O23=2),AND(E23=4,'ОТВЕТЫ УЧАЩИХСЯ'!O23=2)),1,IF('ОТВЕТЫ УЧАЩИХСЯ'!O23="N",'ОТВЕТЫ УЧАЩИХСЯ'!O23,0)),"")),"")</f>
        <v>1</v>
      </c>
      <c r="Q23" s="151">
        <f>IF(AND(OR($C23&lt;&gt;"",$D23&lt;&gt;""),$A23=1,$AA$6="ДА"),(IF(A23=1,IF(OR(AND(E23=1,'ОТВЕТЫ УЧАЩИХСЯ'!P23=4),AND(E23=2,'ОТВЕТЫ УЧАЩИХСЯ'!P23=2),AND(E23=3,'ОТВЕТЫ УЧАЩИХСЯ'!P23=3),AND(E23=4,'ОТВЕТЫ УЧАЩИХСЯ'!P23=2)),2,IF('ОТВЕТЫ УЧАЩИХСЯ'!P23="N",'ОТВЕТЫ УЧАЩИХСЯ'!P23,0)),"")),"")</f>
        <v>0</v>
      </c>
      <c r="R23" s="151">
        <f>IF(AND(OR($C23&lt;&gt;"",$D23&lt;&gt;""),$A23=1,$AA$6="ДА"),(IF(A23=1,IF(OR(AND(E23=1,'ОТВЕТЫ УЧАЩИХСЯ'!Q23=4),AND(E23=2,'ОТВЕТЫ УЧАЩИХСЯ'!Q23=1),AND(E23=3,'ОТВЕТЫ УЧАЩИХСЯ'!Q23=3),AND(E23=4,'ОТВЕТЫ УЧАЩИХСЯ'!Q23=4)),1,IF('ОТВЕТЫ УЧАЩИХСЯ'!Q23="N",'ОТВЕТЫ УЧАЩИХСЯ'!Q23,0)),"")),"")</f>
        <v>1</v>
      </c>
      <c r="S23" s="151">
        <f>IF(AND(OR($C23&lt;&gt;"",$D23&lt;&gt;""),$A23=1,$AA$6="ДА"),(IF(A23=1,IF(OR(AND(E23=1,'ОТВЕТЫ УЧАЩИХСЯ'!R23=3),AND(E23=2,'ОТВЕТЫ УЧАЩИХСЯ'!R23=4),AND(E23=3,'ОТВЕТЫ УЧАЩИХСЯ'!R23=2),AND(E23=4,'ОТВЕТЫ УЧАЩИХСЯ'!R23=1)),1,IF('ОТВЕТЫ УЧАЩИХСЯ'!R23="N",'ОТВЕТЫ УЧАЩИХСЯ'!R23,0)),"")),"")</f>
        <v>0</v>
      </c>
      <c r="T23" s="151">
        <f>IF(AND(OR($C23&lt;&gt;"",$D23&lt;&gt;""),$A23=1,$AA$6="ДА"),(IF(A23=1,IF(OR(AND(E23=1,'ОТВЕТЫ УЧАЩИХСЯ'!S23=1),AND(E23=2,'ОТВЕТЫ УЧАЩИХСЯ'!S23=2),AND(E23=3,'ОТВЕТЫ УЧАЩИХСЯ'!S23=2),AND(E23=4,'ОТВЕТЫ УЧАЩИХСЯ'!S23=3)),1,IF('ОТВЕТЫ УЧАЩИХСЯ'!S23="N",'ОТВЕТЫ УЧАЩИХСЯ'!S23,0)),"")),"")</f>
        <v>0</v>
      </c>
      <c r="U23" s="99">
        <f t="shared" si="5"/>
        <v>2</v>
      </c>
      <c r="V23" s="99">
        <f>IF(AND(OR($C23&lt;&gt;"",$D23&lt;&gt;""),$A23=1,$AA$6="ДА"),(IF(A23=1,IF(OR(AND(E23=1,'ОТВЕТЫ УЧАЩИХСЯ'!T23=274),AND(E23=2,'ОТВЕТЫ УЧАЩИХСЯ'!T23=3),AND(E23=3,'ОТВЕТЫ УЧАЩИХСЯ'!T23=778),AND(E23=4,'ОТВЕТЫ УЧАЩИХСЯ'!T23=40)),1,IF('ОТВЕТЫ УЧАЩИХСЯ'!T23="N",'ОТВЕТЫ УЧАЩИХСЯ'!T23,0)),"")),"")</f>
        <v>1</v>
      </c>
      <c r="W23" s="99">
        <f>IF(AND(OR($C23&lt;&gt;"",$D23&lt;&gt;""),$A23=1,$AA$6="ДА"),(IF(A23=1,IF(OR(AND(E23=1,'ОТВЕТЫ УЧАЩИХСЯ'!U23=49),AND(E23=2,'ОТВЕТЫ УЧАЩИХСЯ'!U23=2),AND(E23=3,'ОТВЕТЫ УЧАЩИХСЯ'!U23="САТУРН,ЮПИТЕР"),AND(E23=4,'ОТВЕТЫ УЧАЩИХСЯ'!U23=8)),1,IF('ОТВЕТЫ УЧАЩИХСЯ'!U23="N",'ОТВЕТЫ УЧАЩИХСЯ'!U23,0)),"")),"")</f>
        <v>1</v>
      </c>
      <c r="X23" s="99">
        <f>IF(AND(OR($C23&lt;&gt;"",$D23&lt;&gt;""),$A23=1,$AA$6="ДА"),(IF(A23=1,IF(OR(AND(E23=1,'ОТВЕТЫ УЧАЩИХСЯ'!V23=20),AND(E23=2,'ОТВЕТЫ УЧАЩИХСЯ'!V23=20),AND(E23=3,'ОТВЕТЫ УЧАЩИХСЯ'!V23=22),AND(E23=4,'ОТВЕТЫ УЧАЩИХСЯ'!V23=85)),2,IF('ОТВЕТЫ УЧАЩИХСЯ'!V23="N",'ОТВЕТЫ УЧАЩИХСЯ'!V23,0)),"")),"")</f>
        <v>2</v>
      </c>
      <c r="Y23" s="99" t="str">
        <f>IF(AND(OR($C23&lt;&gt;"",$D23&lt;&gt;""),$A23=1,$AA$6="ДА"),IF((ISBLANK($D23)),"",IF($A$20=1,'ОТВЕТЫ УЧАЩИХСЯ'!W23,"")),"")</f>
        <v/>
      </c>
      <c r="Z23" s="332">
        <f t="shared" si="6"/>
        <v>14</v>
      </c>
      <c r="AA23" s="309">
        <f t="shared" si="7"/>
        <v>0.56000000000000005</v>
      </c>
      <c r="AB23" s="310">
        <f t="shared" si="8"/>
        <v>8</v>
      </c>
      <c r="AC23" s="311">
        <f t="shared" si="9"/>
        <v>72.727272727272734</v>
      </c>
      <c r="AD23" s="310">
        <f t="shared" si="10"/>
        <v>6</v>
      </c>
      <c r="AE23" s="311">
        <f t="shared" si="11"/>
        <v>42.857142857142854</v>
      </c>
      <c r="AF23" s="312" t="str">
        <f t="shared" si="12"/>
        <v>БАЗОВЫЙ</v>
      </c>
      <c r="AG23" s="273">
        <f t="shared" si="13"/>
        <v>15.625</v>
      </c>
      <c r="AH23" s="210">
        <f t="shared" si="14"/>
        <v>0.625</v>
      </c>
      <c r="AI23" s="374">
        <f t="shared" si="15"/>
        <v>15.625</v>
      </c>
      <c r="AJ23" s="375">
        <f t="shared" si="4"/>
        <v>74.621212121212125</v>
      </c>
      <c r="AK23" s="6"/>
      <c r="AL23" s="6"/>
      <c r="AM23" s="6"/>
      <c r="AN23" s="6"/>
      <c r="AO23" s="6"/>
      <c r="AP23" s="6"/>
    </row>
    <row r="24" spans="1:42" ht="12.75" customHeight="1" thickBot="1">
      <c r="A24" s="12">
        <f>IF('СПИСОК КЛАССА'!J24&gt;0,1,0)</f>
        <v>1</v>
      </c>
      <c r="B24" s="97">
        <v>5</v>
      </c>
      <c r="C24" s="98">
        <f>IF(NOT(ISBLANK('СПИСОК КЛАССА'!C24)),'СПИСОК КЛАССА'!C24,"")</f>
        <v>5</v>
      </c>
      <c r="D24" s="131" t="str">
        <f>IF(NOT(ISBLANK('СПИСОК КЛАССА'!D24)),IF($A24=1,'СПИСОК КЛАССА'!D24, "УЧЕНИК НЕ ВЫПОЛНЯЛ РАБОТУ"),"")</f>
        <v/>
      </c>
      <c r="E24" s="149">
        <f>IF($C24&lt;&gt;"",'СПИСОК КЛАССА'!J24,"")</f>
        <v>3</v>
      </c>
      <c r="F24" s="99">
        <f>IF(AND(OR($C24&lt;&gt;"",$D24&lt;&gt;""),$A24=1,$AA$6="ДА"),(IF(A24=1,IF(OR(AND(E24=1,'ОТВЕТЫ УЧАЩИХСЯ'!E24=1),AND(E24=2,'ОТВЕТЫ УЧАЩИХСЯ'!E24=2),AND(E24=3,'ОТВЕТЫ УЧАЩИХСЯ'!E24=4),AND(E24=4,'ОТВЕТЫ УЧАЩИХСЯ'!E24=2)),1,IF('ОТВЕТЫ УЧАЩИХСЯ'!E24="N",'ОТВЕТЫ УЧАЩИХСЯ'!E24,0)),"")),"")</f>
        <v>0</v>
      </c>
      <c r="G24" s="151">
        <f>IF(AND(OR($C24&lt;&gt;"",$D24&lt;&gt;""),$A24=1,$AA$6="ДА"),(IF(A24=1,IF(OR(AND(E24=1,'ОТВЕТЫ УЧАЩИХСЯ'!F24=4),AND(E24=2,'ОТВЕТЫ УЧАЩИХСЯ'!F24=1),AND(E24=3,'ОТВЕТЫ УЧАЩИХСЯ'!F24=2),AND(E24=4,'ОТВЕТЫ УЧАЩИХСЯ'!F24=3)),1,IF('ОТВЕТЫ УЧАЩИХСЯ'!F24="N",'ОТВЕТЫ УЧАЩИХСЯ'!F24,0)),"")),"")</f>
        <v>1</v>
      </c>
      <c r="H24" s="151">
        <f>IF(AND(OR($C24&lt;&gt;"",$D24&lt;&gt;""),$A24=1,$AA$6="ДА"),(IF(A24=1,IF(OR(AND(E24=1,'ОТВЕТЫ УЧАЩИХСЯ'!G24=4),AND(E24=2,'ОТВЕТЫ УЧАЩИХСЯ'!G24=3),AND(E24=3,'ОТВЕТЫ УЧАЩИХСЯ'!G24=4),AND(E24=4,'ОТВЕТЫ УЧАЩИХСЯ'!G24=4)),1,IF('ОТВЕТЫ УЧАЩИХСЯ'!G24="N",'ОТВЕТЫ УЧАЩИХСЯ'!G24,0)),"")),"")</f>
        <v>0</v>
      </c>
      <c r="I24" s="151">
        <f>IF(AND(OR($C24&lt;&gt;"",$D24&lt;&gt;""),$A24=1,$AA$6="ДА"),(IF(A24=1,IF(OR(AND(E24=1,'ОТВЕТЫ УЧАЩИХСЯ'!H24=2),AND(E24=2,'ОТВЕТЫ УЧАЩИХСЯ'!H24=1),AND(E24=3,'ОТВЕТЫ УЧАЩИХСЯ'!H24=3),AND(E24=4,'ОТВЕТЫ УЧАЩИХСЯ'!H24=4)),1,IF('ОТВЕТЫ УЧАЩИХСЯ'!H24="N",'ОТВЕТЫ УЧАЩИХСЯ'!H24,0)),"")),"")</f>
        <v>1</v>
      </c>
      <c r="J24" s="151">
        <f>IF(AND(OR($C24&lt;&gt;"",$D24&lt;&gt;""),$A24=1,$AA$6="ДА"),(IF(A24=1,IF(OR(AND(E24=1,'ОТВЕТЫ УЧАЩИХСЯ'!I24=3),AND(E24=2,'ОТВЕТЫ УЧАЩИХСЯ'!I24=4),AND(E24=3,'ОТВЕТЫ УЧАЩИХСЯ'!I24=3),AND(E24=4,'ОТВЕТЫ УЧАЩИХСЯ'!I24=1)),1,IF('ОТВЕТЫ УЧАЩИХСЯ'!I24="N",'ОТВЕТЫ УЧАЩИХСЯ'!I24,0)),"")),"")</f>
        <v>1</v>
      </c>
      <c r="K24" s="151">
        <f>IF(AND(OR($C24&lt;&gt;"",$D24&lt;&gt;""),$A24=1,$AA$6="ДА"),(IF(A24=1,IF(OR(AND(E24=1,'ОТВЕТЫ УЧАЩИХСЯ'!J24=3),AND(E24=2,'ОТВЕТЫ УЧАЩИХСЯ'!J24=3),AND(E24=3,'ОТВЕТЫ УЧАЩИХСЯ'!J24=2),AND(E24=4,'ОТВЕТЫ УЧАЩИХСЯ'!J24=4)),1,IF('ОТВЕТЫ УЧАЩИХСЯ'!J24="N",'ОТВЕТЫ УЧАЩИХСЯ'!J24,0)),"")),"")</f>
        <v>1</v>
      </c>
      <c r="L24" s="151">
        <f>IF(AND(OR($C24&lt;&gt;"",$D24&lt;&gt;""),$A24=1,$AA$6="ДА"),(IF(A24=1,IF(OR(AND(E24=1,'ОТВЕТЫ УЧАЩИХСЯ'!K24=2),AND(E24=2,'ОТВЕТЫ УЧАЩИХСЯ'!K24=4),AND(E24=3,'ОТВЕТЫ УЧАЩИХСЯ'!K24=1),AND(E24=4,'ОТВЕТЫ УЧАЩИХСЯ'!K24=3)),2,IF('ОТВЕТЫ УЧАЩИХСЯ'!K24="N",'ОТВЕТЫ УЧАЩИХСЯ'!K24,0)),"")),"")</f>
        <v>0</v>
      </c>
      <c r="M24" s="151">
        <f>IF(AND(OR($C24&lt;&gt;"",$D24&lt;&gt;""),$A24=1,$AA$6="ДА"),(IF(A24=1,IF(OR(AND(E24=1,'ОТВЕТЫ УЧАЩИХСЯ'!L24=4),AND(E24=2,'ОТВЕТЫ УЧАЩИХСЯ'!L24=1),AND(E24=3,'ОТВЕТЫ УЧАЩИХСЯ'!L24=4),AND(E24=4,'ОТВЕТЫ УЧАЩИХСЯ'!L24=2)),2,IF('ОТВЕТЫ УЧАЩИХСЯ'!L24="N",'ОТВЕТЫ УЧАЩИХСЯ'!L24,0)),"")),"")</f>
        <v>0</v>
      </c>
      <c r="N24" s="151">
        <f>IF(AND(OR($C24&lt;&gt;"",$D24&lt;&gt;""),$A24=1,$AA$6="ДА"),(IF(A24=1,IF(OR(AND(E24=1,'ОТВЕТЫ УЧАЩИХСЯ'!M24=1),AND(E24=2,'ОТВЕТЫ УЧАЩИХСЯ'!M24=3),AND(E24=3,'ОТВЕТЫ УЧАЩИХСЯ'!M24=3),AND(E24=4,'ОТВЕТЫ УЧАЩИХСЯ'!M24=1)),2,IF('ОТВЕТЫ УЧАЩИХСЯ'!M24="N",'ОТВЕТЫ УЧАЩИХСЯ'!M24,0)),"")),"")</f>
        <v>2</v>
      </c>
      <c r="O24" s="151">
        <f>IF(AND(OR($C24&lt;&gt;"",$D24&lt;&gt;""),$A24=1,$AA$6="ДА"),(IF(A24=1,IF(OR(AND(E24=1,'ОТВЕТЫ УЧАЩИХСЯ'!N24=2),AND(E24=2,'ОТВЕТЫ УЧАЩИХСЯ'!N24=1),AND(E24=3,'ОТВЕТЫ УЧАЩИХСЯ'!N24=3),AND(E24=4,'ОТВЕТЫ УЧАЩИХСЯ'!N24=3)),1,IF('ОТВЕТЫ УЧАЩИХСЯ'!N24="N",'ОТВЕТЫ УЧАЩИХСЯ'!N24,0)),"")),"")</f>
        <v>1</v>
      </c>
      <c r="P24" s="151">
        <f>IF(AND(OR($C24&lt;&gt;"",$D24&lt;&gt;""),$A24=1,$AA$6="ДА"),(IF(A24=1,IF(OR(AND(E24=1,'ОТВЕТЫ УЧАЩИХСЯ'!O24=3),AND(E24=2,'ОТВЕТЫ УЧАЩИХСЯ'!O24=4),AND(E24=3,'ОТВЕТЫ УЧАЩИХСЯ'!O24=2),AND(E24=4,'ОТВЕТЫ УЧАЩИХСЯ'!O24=2)),1,IF('ОТВЕТЫ УЧАЩИХСЯ'!O24="N",'ОТВЕТЫ УЧАЩИХСЯ'!O24,0)),"")),"")</f>
        <v>1</v>
      </c>
      <c r="Q24" s="151">
        <f>IF(AND(OR($C24&lt;&gt;"",$D24&lt;&gt;""),$A24=1,$AA$6="ДА"),(IF(A24=1,IF(OR(AND(E24=1,'ОТВЕТЫ УЧАЩИХСЯ'!P24=4),AND(E24=2,'ОТВЕТЫ УЧАЩИХСЯ'!P24=2),AND(E24=3,'ОТВЕТЫ УЧАЩИХСЯ'!P24=3),AND(E24=4,'ОТВЕТЫ УЧАЩИХСЯ'!P24=2)),2,IF('ОТВЕТЫ УЧАЩИХСЯ'!P24="N",'ОТВЕТЫ УЧАЩИХСЯ'!P24,0)),"")),"")</f>
        <v>2</v>
      </c>
      <c r="R24" s="151">
        <f>IF(AND(OR($C24&lt;&gt;"",$D24&lt;&gt;""),$A24=1,$AA$6="ДА"),(IF(A24=1,IF(OR(AND(E24=1,'ОТВЕТЫ УЧАЩИХСЯ'!Q24=4),AND(E24=2,'ОТВЕТЫ УЧАЩИХСЯ'!Q24=1),AND(E24=3,'ОТВЕТЫ УЧАЩИХСЯ'!Q24=3),AND(E24=4,'ОТВЕТЫ УЧАЩИХСЯ'!Q24=4)),1,IF('ОТВЕТЫ УЧАЩИХСЯ'!Q24="N",'ОТВЕТЫ УЧАЩИХСЯ'!Q24,0)),"")),"")</f>
        <v>1</v>
      </c>
      <c r="S24" s="151">
        <f>IF(AND(OR($C24&lt;&gt;"",$D24&lt;&gt;""),$A24=1,$AA$6="ДА"),(IF(A24=1,IF(OR(AND(E24=1,'ОТВЕТЫ УЧАЩИХСЯ'!R24=3),AND(E24=2,'ОТВЕТЫ УЧАЩИХСЯ'!R24=4),AND(E24=3,'ОТВЕТЫ УЧАЩИХСЯ'!R24=2),AND(E24=4,'ОТВЕТЫ УЧАЩИХСЯ'!R24=1)),1,IF('ОТВЕТЫ УЧАЩИХСЯ'!R24="N",'ОТВЕТЫ УЧАЩИХСЯ'!R24,0)),"")),"")</f>
        <v>1</v>
      </c>
      <c r="T24" s="151">
        <f>IF(AND(OR($C24&lt;&gt;"",$D24&lt;&gt;""),$A24=1,$AA$6="ДА"),(IF(A24=1,IF(OR(AND(E24=1,'ОТВЕТЫ УЧАЩИХСЯ'!S24=1),AND(E24=2,'ОТВЕТЫ УЧАЩИХСЯ'!S24=2),AND(E24=3,'ОТВЕТЫ УЧАЩИХСЯ'!S24=2),AND(E24=4,'ОТВЕТЫ УЧАЩИХСЯ'!S24=3)),1,IF('ОТВЕТЫ УЧАЩИХСЯ'!S24="N",'ОТВЕТЫ УЧАЩИХСЯ'!S24,0)),"")),"")</f>
        <v>1</v>
      </c>
      <c r="U24" s="99">
        <f t="shared" si="5"/>
        <v>1</v>
      </c>
      <c r="V24" s="99">
        <f>IF(AND(OR($C24&lt;&gt;"",$D24&lt;&gt;""),$A24=1,$AA$6="ДА"),(IF(A24=1,IF(OR(AND(E24=1,'ОТВЕТЫ УЧАЩИХСЯ'!T24=274),AND(E24=2,'ОТВЕТЫ УЧАЩИХСЯ'!T24=3),AND(E24=3,'ОТВЕТЫ УЧАЩИХСЯ'!T24=778),AND(E24=4,'ОТВЕТЫ УЧАЩИХСЯ'!T24=40)),1,IF('ОТВЕТЫ УЧАЩИХСЯ'!T24="N",'ОТВЕТЫ УЧАЩИХСЯ'!T24,0)),"")),"")</f>
        <v>1</v>
      </c>
      <c r="W24" s="99">
        <f>IF(AND(OR($C24&lt;&gt;"",$D24&lt;&gt;""),$A24=1,$AA$6="ДА"),(IF(A24=1,IF(OR(AND(E24=1,'ОТВЕТЫ УЧАЩИХСЯ'!U24=49),AND(E24=2,'ОТВЕТЫ УЧАЩИХСЯ'!U24=2),AND(E24=3,'ОТВЕТЫ УЧАЩИХСЯ'!U24="САТУРН,ЮПИТЕР"),AND(E24=4,'ОТВЕТЫ УЧАЩИХСЯ'!U24=8)),1,IF('ОТВЕТЫ УЧАЩИХСЯ'!U24="N",'ОТВЕТЫ УЧАЩИХСЯ'!U24,0)),"")),"")</f>
        <v>0</v>
      </c>
      <c r="X24" s="99">
        <f>IF(AND(OR($C24&lt;&gt;"",$D24&lt;&gt;""),$A24=1,$AA$6="ДА"),(IF(A24=1,IF(OR(AND(E24=1,'ОТВЕТЫ УЧАЩИХСЯ'!V24=20),AND(E24=2,'ОТВЕТЫ УЧАЩИХСЯ'!V24=20),AND(E24=3,'ОТВЕТЫ УЧАЩИХСЯ'!V24=22),AND(E24=4,'ОТВЕТЫ УЧАЩИХСЯ'!V24=85)),2,IF('ОТВЕТЫ УЧАЩИХСЯ'!V24="N",'ОТВЕТЫ УЧАЩИХСЯ'!V24,0)),"")),"")</f>
        <v>2</v>
      </c>
      <c r="Y24" s="99" t="str">
        <f>IF(AND(OR($C24&lt;&gt;"",$D24&lt;&gt;""),$A24=1,$AA$6="ДА"),IF((ISBLANK($D24)),"",IF($A$20=1,'ОТВЕТЫ УЧАЩИХСЯ'!W24,"")),"")</f>
        <v/>
      </c>
      <c r="Z24" s="332">
        <f t="shared" si="6"/>
        <v>16</v>
      </c>
      <c r="AA24" s="309">
        <f t="shared" si="7"/>
        <v>0.64</v>
      </c>
      <c r="AB24" s="310">
        <f t="shared" si="8"/>
        <v>9</v>
      </c>
      <c r="AC24" s="311">
        <f t="shared" si="9"/>
        <v>81.818181818181827</v>
      </c>
      <c r="AD24" s="310">
        <f t="shared" si="10"/>
        <v>7</v>
      </c>
      <c r="AE24" s="311">
        <f t="shared" si="11"/>
        <v>50</v>
      </c>
      <c r="AF24" s="312" t="str">
        <f t="shared" si="12"/>
        <v>БАЗОВЫЙ</v>
      </c>
      <c r="AG24" s="273">
        <f t="shared" si="13"/>
        <v>15.625</v>
      </c>
      <c r="AH24" s="210">
        <f t="shared" si="14"/>
        <v>0.625</v>
      </c>
      <c r="AI24" s="374">
        <f t="shared" si="15"/>
        <v>15.625</v>
      </c>
      <c r="AJ24" s="375">
        <f t="shared" si="4"/>
        <v>74.621212121212125</v>
      </c>
      <c r="AK24" s="6"/>
      <c r="AL24" s="6"/>
      <c r="AM24" s="6"/>
      <c r="AN24" s="6"/>
      <c r="AO24" s="6"/>
      <c r="AP24" s="6"/>
    </row>
    <row r="25" spans="1:42" ht="12.75" customHeight="1" thickBot="1">
      <c r="A25" s="12">
        <f>IF('СПИСОК КЛАССА'!J25&gt;0,1,0)</f>
        <v>1</v>
      </c>
      <c r="B25" s="97">
        <v>6</v>
      </c>
      <c r="C25" s="98">
        <f>IF(NOT(ISBLANK('СПИСОК КЛАССА'!C25)),'СПИСОК КЛАССА'!C25,"")</f>
        <v>6</v>
      </c>
      <c r="D25" s="131" t="str">
        <f>IF(NOT(ISBLANK('СПИСОК КЛАССА'!D25)),IF($A25=1,'СПИСОК КЛАССА'!D25, "УЧЕНИК НЕ ВЫПОЛНЯЛ РАБОТУ"),"")</f>
        <v/>
      </c>
      <c r="E25" s="149">
        <f>IF($C25&lt;&gt;"",'СПИСОК КЛАССА'!J25,"")</f>
        <v>1</v>
      </c>
      <c r="F25" s="99">
        <f>IF(AND(OR($C25&lt;&gt;"",$D25&lt;&gt;""),$A25=1,$AA$6="ДА"),(IF(A25=1,IF(OR(AND(E25=1,'ОТВЕТЫ УЧАЩИХСЯ'!E25=1),AND(E25=2,'ОТВЕТЫ УЧАЩИХСЯ'!E25=2),AND(E25=3,'ОТВЕТЫ УЧАЩИХСЯ'!E25=4),AND(E25=4,'ОТВЕТЫ УЧАЩИХСЯ'!E25=2)),1,IF('ОТВЕТЫ УЧАЩИХСЯ'!E25="N",'ОТВЕТЫ УЧАЩИХСЯ'!E25,0)),"")),"")</f>
        <v>1</v>
      </c>
      <c r="G25" s="151">
        <f>IF(AND(OR($C25&lt;&gt;"",$D25&lt;&gt;""),$A25=1,$AA$6="ДА"),(IF(A25=1,IF(OR(AND(E25=1,'ОТВЕТЫ УЧАЩИХСЯ'!F25=4),AND(E25=2,'ОТВЕТЫ УЧАЩИХСЯ'!F25=1),AND(E25=3,'ОТВЕТЫ УЧАЩИХСЯ'!F25=2),AND(E25=4,'ОТВЕТЫ УЧАЩИХСЯ'!F25=3)),1,IF('ОТВЕТЫ УЧАЩИХСЯ'!F25="N",'ОТВЕТЫ УЧАЩИХСЯ'!F25,0)),"")),"")</f>
        <v>1</v>
      </c>
      <c r="H25" s="151">
        <f>IF(AND(OR($C25&lt;&gt;"",$D25&lt;&gt;""),$A25=1,$AA$6="ДА"),(IF(A25=1,IF(OR(AND(E25=1,'ОТВЕТЫ УЧАЩИХСЯ'!G25=4),AND(E25=2,'ОТВЕТЫ УЧАЩИХСЯ'!G25=3),AND(E25=3,'ОТВЕТЫ УЧАЩИХСЯ'!G25=4),AND(E25=4,'ОТВЕТЫ УЧАЩИХСЯ'!G25=4)),1,IF('ОТВЕТЫ УЧАЩИХСЯ'!G25="N",'ОТВЕТЫ УЧАЩИХСЯ'!G25,0)),"")),"")</f>
        <v>1</v>
      </c>
      <c r="I25" s="151">
        <f>IF(AND(OR($C25&lt;&gt;"",$D25&lt;&gt;""),$A25=1,$AA$6="ДА"),(IF(A25=1,IF(OR(AND(E25=1,'ОТВЕТЫ УЧАЩИХСЯ'!H25=2),AND(E25=2,'ОТВЕТЫ УЧАЩИХСЯ'!H25=1),AND(E25=3,'ОТВЕТЫ УЧАЩИХСЯ'!H25=3),AND(E25=4,'ОТВЕТЫ УЧАЩИХСЯ'!H25=4)),1,IF('ОТВЕТЫ УЧАЩИХСЯ'!H25="N",'ОТВЕТЫ УЧАЩИХСЯ'!H25,0)),"")),"")</f>
        <v>1</v>
      </c>
      <c r="J25" s="151">
        <f>IF(AND(OR($C25&lt;&gt;"",$D25&lt;&gt;""),$A25=1,$AA$6="ДА"),(IF(A25=1,IF(OR(AND(E25=1,'ОТВЕТЫ УЧАЩИХСЯ'!I25=3),AND(E25=2,'ОТВЕТЫ УЧАЩИХСЯ'!I25=4),AND(E25=3,'ОТВЕТЫ УЧАЩИХСЯ'!I25=3),AND(E25=4,'ОТВЕТЫ УЧАЩИХСЯ'!I25=1)),1,IF('ОТВЕТЫ УЧАЩИХСЯ'!I25="N",'ОТВЕТЫ УЧАЩИХСЯ'!I25,0)),"")),"")</f>
        <v>1</v>
      </c>
      <c r="K25" s="151">
        <f>IF(AND(OR($C25&lt;&gt;"",$D25&lt;&gt;""),$A25=1,$AA$6="ДА"),(IF(A25=1,IF(OR(AND(E25=1,'ОТВЕТЫ УЧАЩИХСЯ'!J25=3),AND(E25=2,'ОТВЕТЫ УЧАЩИХСЯ'!J25=3),AND(E25=3,'ОТВЕТЫ УЧАЩИХСЯ'!J25=2),AND(E25=4,'ОТВЕТЫ УЧАЩИХСЯ'!J25=4)),1,IF('ОТВЕТЫ УЧАЩИХСЯ'!J25="N",'ОТВЕТЫ УЧАЩИХСЯ'!J25,0)),"")),"")</f>
        <v>1</v>
      </c>
      <c r="L25" s="151">
        <f>IF(AND(OR($C25&lt;&gt;"",$D25&lt;&gt;""),$A25=1,$AA$6="ДА"),(IF(A25=1,IF(OR(AND(E25=1,'ОТВЕТЫ УЧАЩИХСЯ'!K25=2),AND(E25=2,'ОТВЕТЫ УЧАЩИХСЯ'!K25=4),AND(E25=3,'ОТВЕТЫ УЧАЩИХСЯ'!K25=1),AND(E25=4,'ОТВЕТЫ УЧАЩИХСЯ'!K25=3)),2,IF('ОТВЕТЫ УЧАЩИХСЯ'!K25="N",'ОТВЕТЫ УЧАЩИХСЯ'!K25,0)),"")),"")</f>
        <v>0</v>
      </c>
      <c r="M25" s="151">
        <f>IF(AND(OR($C25&lt;&gt;"",$D25&lt;&gt;""),$A25=1,$AA$6="ДА"),(IF(A25=1,IF(OR(AND(E25=1,'ОТВЕТЫ УЧАЩИХСЯ'!L25=4),AND(E25=2,'ОТВЕТЫ УЧАЩИХСЯ'!L25=1),AND(E25=3,'ОТВЕТЫ УЧАЩИХСЯ'!L25=4),AND(E25=4,'ОТВЕТЫ УЧАЩИХСЯ'!L25=2)),2,IF('ОТВЕТЫ УЧАЩИХСЯ'!L25="N",'ОТВЕТЫ УЧАЩИХСЯ'!L25,0)),"")),"")</f>
        <v>2</v>
      </c>
      <c r="N25" s="151">
        <f>IF(AND(OR($C25&lt;&gt;"",$D25&lt;&gt;""),$A25=1,$AA$6="ДА"),(IF(A25=1,IF(OR(AND(E25=1,'ОТВЕТЫ УЧАЩИХСЯ'!M25=1),AND(E25=2,'ОТВЕТЫ УЧАЩИХСЯ'!M25=3),AND(E25=3,'ОТВЕТЫ УЧАЩИХСЯ'!M25=3),AND(E25=4,'ОТВЕТЫ УЧАЩИХСЯ'!M25=1)),2,IF('ОТВЕТЫ УЧАЩИХСЯ'!M25="N",'ОТВЕТЫ УЧАЩИХСЯ'!M25,0)),"")),"")</f>
        <v>2</v>
      </c>
      <c r="O25" s="151">
        <f>IF(AND(OR($C25&lt;&gt;"",$D25&lt;&gt;""),$A25=1,$AA$6="ДА"),(IF(A25=1,IF(OR(AND(E25=1,'ОТВЕТЫ УЧАЩИХСЯ'!N25=2),AND(E25=2,'ОТВЕТЫ УЧАЩИХСЯ'!N25=1),AND(E25=3,'ОТВЕТЫ УЧАЩИХСЯ'!N25=3),AND(E25=4,'ОТВЕТЫ УЧАЩИХСЯ'!N25=3)),1,IF('ОТВЕТЫ УЧАЩИХСЯ'!N25="N",'ОТВЕТЫ УЧАЩИХСЯ'!N25,0)),"")),"")</f>
        <v>1</v>
      </c>
      <c r="P25" s="151">
        <f>IF(AND(OR($C25&lt;&gt;"",$D25&lt;&gt;""),$A25=1,$AA$6="ДА"),(IF(A25=1,IF(OR(AND(E25=1,'ОТВЕТЫ УЧАЩИХСЯ'!O25=3),AND(E25=2,'ОТВЕТЫ УЧАЩИХСЯ'!O25=4),AND(E25=3,'ОТВЕТЫ УЧАЩИХСЯ'!O25=2),AND(E25=4,'ОТВЕТЫ УЧАЩИХСЯ'!O25=2)),1,IF('ОТВЕТЫ УЧАЩИХСЯ'!O25="N",'ОТВЕТЫ УЧАЩИХСЯ'!O25,0)),"")),"")</f>
        <v>1</v>
      </c>
      <c r="Q25" s="151" t="str">
        <f>IF(AND(OR($C25&lt;&gt;"",$D25&lt;&gt;""),$A25=1,$AA$6="ДА"),(IF(A25=1,IF(OR(AND(E25=1,'ОТВЕТЫ УЧАЩИХСЯ'!P25=4),AND(E25=2,'ОТВЕТЫ УЧАЩИХСЯ'!P25=2),AND(E25=3,'ОТВЕТЫ УЧАЩИХСЯ'!P25=3),AND(E25=4,'ОТВЕТЫ УЧАЩИХСЯ'!P25=2)),2,IF('ОТВЕТЫ УЧАЩИХСЯ'!P25="N",'ОТВЕТЫ УЧАЩИХСЯ'!P25,0)),"")),"")</f>
        <v>N</v>
      </c>
      <c r="R25" s="151">
        <f>IF(AND(OR($C25&lt;&gt;"",$D25&lt;&gt;""),$A25=1,$AA$6="ДА"),(IF(A25=1,IF(OR(AND(E25=1,'ОТВЕТЫ УЧАЩИХСЯ'!Q25=4),AND(E25=2,'ОТВЕТЫ УЧАЩИХСЯ'!Q25=1),AND(E25=3,'ОТВЕТЫ УЧАЩИХСЯ'!Q25=3),AND(E25=4,'ОТВЕТЫ УЧАЩИХСЯ'!Q25=4)),1,IF('ОТВЕТЫ УЧАЩИХСЯ'!Q25="N",'ОТВЕТЫ УЧАЩИХСЯ'!Q25,0)),"")),"")</f>
        <v>1</v>
      </c>
      <c r="S25" s="151" t="str">
        <f>IF(AND(OR($C25&lt;&gt;"",$D25&lt;&gt;""),$A25=1,$AA$6="ДА"),(IF(A25=1,IF(OR(AND(E25=1,'ОТВЕТЫ УЧАЩИХСЯ'!R25=3),AND(E25=2,'ОТВЕТЫ УЧАЩИХСЯ'!R25=4),AND(E25=3,'ОТВЕТЫ УЧАЩИХСЯ'!R25=2),AND(E25=4,'ОТВЕТЫ УЧАЩИХСЯ'!R25=1)),1,IF('ОТВЕТЫ УЧАЩИХСЯ'!R25="N",'ОТВЕТЫ УЧАЩИХСЯ'!R25,0)),"")),"")</f>
        <v>N</v>
      </c>
      <c r="T25" s="151" t="str">
        <f>IF(AND(OR($C25&lt;&gt;"",$D25&lt;&gt;""),$A25=1,$AA$6="ДА"),(IF(A25=1,IF(OR(AND(E25=1,'ОТВЕТЫ УЧАЩИХСЯ'!S25=1),AND(E25=2,'ОТВЕТЫ УЧАЩИХСЯ'!S25=2),AND(E25=3,'ОТВЕТЫ УЧАЩИХСЯ'!S25=2),AND(E25=4,'ОТВЕТЫ УЧАЩИХСЯ'!S25=3)),1,IF('ОТВЕТЫ УЧАЩИХСЯ'!S25="N",'ОТВЕТЫ УЧАЩИХСЯ'!S25,0)),"")),"")</f>
        <v>N</v>
      </c>
      <c r="U25" s="99" t="str">
        <f t="shared" si="5"/>
        <v>N</v>
      </c>
      <c r="V25" s="99" t="str">
        <f>IF(AND(OR($C25&lt;&gt;"",$D25&lt;&gt;""),$A25=1,$AA$6="ДА"),(IF(A25=1,IF(OR(AND(E25=1,'ОТВЕТЫ УЧАЩИХСЯ'!T25=274),AND(E25=2,'ОТВЕТЫ УЧАЩИХСЯ'!T25=3),AND(E25=3,'ОТВЕТЫ УЧАЩИХСЯ'!T25=778),AND(E25=4,'ОТВЕТЫ УЧАЩИХСЯ'!T25=40)),1,IF('ОТВЕТЫ УЧАЩИХСЯ'!T25="N",'ОТВЕТЫ УЧАЩИХСЯ'!T25,0)),"")),"")</f>
        <v>N</v>
      </c>
      <c r="W25" s="99" t="str">
        <f>IF(AND(OR($C25&lt;&gt;"",$D25&lt;&gt;""),$A25=1,$AA$6="ДА"),(IF(A25=1,IF(OR(AND(E25=1,'ОТВЕТЫ УЧАЩИХСЯ'!U25=49),AND(E25=2,'ОТВЕТЫ УЧАЩИХСЯ'!U25=2),AND(E25=3,'ОТВЕТЫ УЧАЩИХСЯ'!U25="САТУРН,ЮПИТЕР"),AND(E25=4,'ОТВЕТЫ УЧАЩИХСЯ'!U25=8)),1,IF('ОТВЕТЫ УЧАЩИХСЯ'!U25="N",'ОТВЕТЫ УЧАЩИХСЯ'!U25,0)),"")),"")</f>
        <v>N</v>
      </c>
      <c r="X25" s="99" t="str">
        <f>IF(AND(OR($C25&lt;&gt;"",$D25&lt;&gt;""),$A25=1,$AA$6="ДА"),(IF(A25=1,IF(OR(AND(E25=1,'ОТВЕТЫ УЧАЩИХСЯ'!V25=20),AND(E25=2,'ОТВЕТЫ УЧАЩИХСЯ'!V25=20),AND(E25=3,'ОТВЕТЫ УЧАЩИХСЯ'!V25=22),AND(E25=4,'ОТВЕТЫ УЧАЩИХСЯ'!V25=85)),2,IF('ОТВЕТЫ УЧАЩИХСЯ'!V25="N",'ОТВЕТЫ УЧАЩИХСЯ'!V25,0)),"")),"")</f>
        <v>N</v>
      </c>
      <c r="Y25" s="99" t="str">
        <f>IF(AND(OR($C25&lt;&gt;"",$D25&lt;&gt;""),$A25=1,$AA$6="ДА"),IF((ISBLANK($D25)),"",IF($A$20=1,'ОТВЕТЫ УЧАЩИХСЯ'!W25,"")),"")</f>
        <v/>
      </c>
      <c r="Z25" s="332">
        <f t="shared" si="6"/>
        <v>13</v>
      </c>
      <c r="AA25" s="309">
        <f t="shared" si="7"/>
        <v>0.52</v>
      </c>
      <c r="AB25" s="310">
        <f t="shared" si="8"/>
        <v>9</v>
      </c>
      <c r="AC25" s="311">
        <f t="shared" si="9"/>
        <v>81.818181818181827</v>
      </c>
      <c r="AD25" s="310">
        <f t="shared" si="10"/>
        <v>4</v>
      </c>
      <c r="AE25" s="311">
        <f t="shared" si="11"/>
        <v>28.571428571428569</v>
      </c>
      <c r="AF25" s="312" t="str">
        <f t="shared" si="12"/>
        <v>БАЗОВЫЙ</v>
      </c>
      <c r="AG25" s="273">
        <f t="shared" si="13"/>
        <v>15.625</v>
      </c>
      <c r="AH25" s="210">
        <f t="shared" si="14"/>
        <v>0.625</v>
      </c>
      <c r="AI25" s="374">
        <f t="shared" si="15"/>
        <v>15.625</v>
      </c>
      <c r="AJ25" s="375">
        <f t="shared" si="4"/>
        <v>74.621212121212125</v>
      </c>
      <c r="AK25" s="6"/>
      <c r="AL25" s="6"/>
      <c r="AM25" s="6"/>
      <c r="AN25" s="6"/>
      <c r="AO25" s="6"/>
      <c r="AP25" s="6"/>
    </row>
    <row r="26" spans="1:42" ht="12.75" customHeight="1" thickBot="1">
      <c r="A26" s="12">
        <f>IF('СПИСОК КЛАССА'!J26&gt;0,1,0)</f>
        <v>1</v>
      </c>
      <c r="B26" s="97">
        <v>7</v>
      </c>
      <c r="C26" s="98">
        <f>IF(NOT(ISBLANK('СПИСОК КЛАССА'!C26)),'СПИСОК КЛАССА'!C26,"")</f>
        <v>7</v>
      </c>
      <c r="D26" s="131" t="str">
        <f>IF(NOT(ISBLANK('СПИСОК КЛАССА'!D26)),IF($A26=1,'СПИСОК КЛАССА'!D26, "УЧЕНИК НЕ ВЫПОЛНЯЛ РАБОТУ"),"")</f>
        <v/>
      </c>
      <c r="E26" s="149">
        <f>IF($C26&lt;&gt;"",'СПИСОК КЛАССА'!J26,"")</f>
        <v>4</v>
      </c>
      <c r="F26" s="99">
        <f>IF(AND(OR($C26&lt;&gt;"",$D26&lt;&gt;""),$A26=1,$AA$6="ДА"),(IF(A26=1,IF(OR(AND(E26=1,'ОТВЕТЫ УЧАЩИХСЯ'!E26=1),AND(E26=2,'ОТВЕТЫ УЧАЩИХСЯ'!E26=2),AND(E26=3,'ОТВЕТЫ УЧАЩИХСЯ'!E26=4),AND(E26=4,'ОТВЕТЫ УЧАЩИХСЯ'!E26=2)),1,IF('ОТВЕТЫ УЧАЩИХСЯ'!E26="N",'ОТВЕТЫ УЧАЩИХСЯ'!E26,0)),"")),"")</f>
        <v>1</v>
      </c>
      <c r="G26" s="151">
        <f>IF(AND(OR($C26&lt;&gt;"",$D26&lt;&gt;""),$A26=1,$AA$6="ДА"),(IF(A26=1,IF(OR(AND(E26=1,'ОТВЕТЫ УЧАЩИХСЯ'!F26=4),AND(E26=2,'ОТВЕТЫ УЧАЩИХСЯ'!F26=1),AND(E26=3,'ОТВЕТЫ УЧАЩИХСЯ'!F26=2),AND(E26=4,'ОТВЕТЫ УЧАЩИХСЯ'!F26=3)),1,IF('ОТВЕТЫ УЧАЩИХСЯ'!F26="N",'ОТВЕТЫ УЧАЩИХСЯ'!F26,0)),"")),"")</f>
        <v>1</v>
      </c>
      <c r="H26" s="151">
        <f>IF(AND(OR($C26&lt;&gt;"",$D26&lt;&gt;""),$A26=1,$AA$6="ДА"),(IF(A26=1,IF(OR(AND(E26=1,'ОТВЕТЫ УЧАЩИХСЯ'!G26=4),AND(E26=2,'ОТВЕТЫ УЧАЩИХСЯ'!G26=3),AND(E26=3,'ОТВЕТЫ УЧАЩИХСЯ'!G26=4),AND(E26=4,'ОТВЕТЫ УЧАЩИХСЯ'!G26=4)),1,IF('ОТВЕТЫ УЧАЩИХСЯ'!G26="N",'ОТВЕТЫ УЧАЩИХСЯ'!G26,0)),"")),"")</f>
        <v>1</v>
      </c>
      <c r="I26" s="151">
        <f>IF(AND(OR($C26&lt;&gt;"",$D26&lt;&gt;""),$A26=1,$AA$6="ДА"),(IF(A26=1,IF(OR(AND(E26=1,'ОТВЕТЫ УЧАЩИХСЯ'!H26=2),AND(E26=2,'ОТВЕТЫ УЧАЩИХСЯ'!H26=1),AND(E26=3,'ОТВЕТЫ УЧАЩИХСЯ'!H26=3),AND(E26=4,'ОТВЕТЫ УЧАЩИХСЯ'!H26=4)),1,IF('ОТВЕТЫ УЧАЩИХСЯ'!H26="N",'ОТВЕТЫ УЧАЩИХСЯ'!H26,0)),"")),"")</f>
        <v>1</v>
      </c>
      <c r="J26" s="151">
        <f>IF(AND(OR($C26&lt;&gt;"",$D26&lt;&gt;""),$A26=1,$AA$6="ДА"),(IF(A26=1,IF(OR(AND(E26=1,'ОТВЕТЫ УЧАЩИХСЯ'!I26=3),AND(E26=2,'ОТВЕТЫ УЧАЩИХСЯ'!I26=4),AND(E26=3,'ОТВЕТЫ УЧАЩИХСЯ'!I26=3),AND(E26=4,'ОТВЕТЫ УЧАЩИХСЯ'!I26=1)),1,IF('ОТВЕТЫ УЧАЩИХСЯ'!I26="N",'ОТВЕТЫ УЧАЩИХСЯ'!I26,0)),"")),"")</f>
        <v>1</v>
      </c>
      <c r="K26" s="151">
        <f>IF(AND(OR($C26&lt;&gt;"",$D26&lt;&gt;""),$A26=1,$AA$6="ДА"),(IF(A26=1,IF(OR(AND(E26=1,'ОТВЕТЫ УЧАЩИХСЯ'!J26=3),AND(E26=2,'ОТВЕТЫ УЧАЩИХСЯ'!J26=3),AND(E26=3,'ОТВЕТЫ УЧАЩИХСЯ'!J26=2),AND(E26=4,'ОТВЕТЫ УЧАЩИХСЯ'!J26=4)),1,IF('ОТВЕТЫ УЧАЩИХСЯ'!J26="N",'ОТВЕТЫ УЧАЩИХСЯ'!J26,0)),"")),"")</f>
        <v>1</v>
      </c>
      <c r="L26" s="151">
        <f>IF(AND(OR($C26&lt;&gt;"",$D26&lt;&gt;""),$A26=1,$AA$6="ДА"),(IF(A26=1,IF(OR(AND(E26=1,'ОТВЕТЫ УЧАЩИХСЯ'!K26=2),AND(E26=2,'ОТВЕТЫ УЧАЩИХСЯ'!K26=4),AND(E26=3,'ОТВЕТЫ УЧАЩИХСЯ'!K26=1),AND(E26=4,'ОТВЕТЫ УЧАЩИХСЯ'!K26=3)),2,IF('ОТВЕТЫ УЧАЩИХСЯ'!K26="N",'ОТВЕТЫ УЧАЩИХСЯ'!K26,0)),"")),"")</f>
        <v>2</v>
      </c>
      <c r="M26" s="151">
        <f>IF(AND(OR($C26&lt;&gt;"",$D26&lt;&gt;""),$A26=1,$AA$6="ДА"),(IF(A26=1,IF(OR(AND(E26=1,'ОТВЕТЫ УЧАЩИХСЯ'!L26=4),AND(E26=2,'ОТВЕТЫ УЧАЩИХСЯ'!L26=1),AND(E26=3,'ОТВЕТЫ УЧАЩИХСЯ'!L26=4),AND(E26=4,'ОТВЕТЫ УЧАЩИХСЯ'!L26=2)),2,IF('ОТВЕТЫ УЧАЩИХСЯ'!L26="N",'ОТВЕТЫ УЧАЩИХСЯ'!L26,0)),"")),"")</f>
        <v>2</v>
      </c>
      <c r="N26" s="151">
        <f>IF(AND(OR($C26&lt;&gt;"",$D26&lt;&gt;""),$A26=1,$AA$6="ДА"),(IF(A26=1,IF(OR(AND(E26=1,'ОТВЕТЫ УЧАЩИХСЯ'!M26=1),AND(E26=2,'ОТВЕТЫ УЧАЩИХСЯ'!M26=3),AND(E26=3,'ОТВЕТЫ УЧАЩИХСЯ'!M26=3),AND(E26=4,'ОТВЕТЫ УЧАЩИХСЯ'!M26=1)),2,IF('ОТВЕТЫ УЧАЩИХСЯ'!M26="N",'ОТВЕТЫ УЧАЩИХСЯ'!M26,0)),"")),"")</f>
        <v>2</v>
      </c>
      <c r="O26" s="151">
        <f>IF(AND(OR($C26&lt;&gt;"",$D26&lt;&gt;""),$A26=1,$AA$6="ДА"),(IF(A26=1,IF(OR(AND(E26=1,'ОТВЕТЫ УЧАЩИХСЯ'!N26=2),AND(E26=2,'ОТВЕТЫ УЧАЩИХСЯ'!N26=1),AND(E26=3,'ОТВЕТЫ УЧАЩИХСЯ'!N26=3),AND(E26=4,'ОТВЕТЫ УЧАЩИХСЯ'!N26=3)),1,IF('ОТВЕТЫ УЧАЩИХСЯ'!N26="N",'ОТВЕТЫ УЧАЩИХСЯ'!N26,0)),"")),"")</f>
        <v>1</v>
      </c>
      <c r="P26" s="151">
        <f>IF(AND(OR($C26&lt;&gt;"",$D26&lt;&gt;""),$A26=1,$AA$6="ДА"),(IF(A26=1,IF(OR(AND(E26=1,'ОТВЕТЫ УЧАЩИХСЯ'!O26=3),AND(E26=2,'ОТВЕТЫ УЧАЩИХСЯ'!O26=4),AND(E26=3,'ОТВЕТЫ УЧАЩИХСЯ'!O26=2),AND(E26=4,'ОТВЕТЫ УЧАЩИХСЯ'!O26=2)),1,IF('ОТВЕТЫ УЧАЩИХСЯ'!O26="N",'ОТВЕТЫ УЧАЩИХСЯ'!O26,0)),"")),"")</f>
        <v>0</v>
      </c>
      <c r="Q26" s="151">
        <f>IF(AND(OR($C26&lt;&gt;"",$D26&lt;&gt;""),$A26=1,$AA$6="ДА"),(IF(A26=1,IF(OR(AND(E26=1,'ОТВЕТЫ УЧАЩИХСЯ'!P26=4),AND(E26=2,'ОТВЕТЫ УЧАЩИХСЯ'!P26=2),AND(E26=3,'ОТВЕТЫ УЧАЩИХСЯ'!P26=3),AND(E26=4,'ОТВЕТЫ УЧАЩИХСЯ'!P26=2)),2,IF('ОТВЕТЫ УЧАЩИХСЯ'!P26="N",'ОТВЕТЫ УЧАЩИХСЯ'!P26,0)),"")),"")</f>
        <v>2</v>
      </c>
      <c r="R26" s="151">
        <f>IF(AND(OR($C26&lt;&gt;"",$D26&lt;&gt;""),$A26=1,$AA$6="ДА"),(IF(A26=1,IF(OR(AND(E26=1,'ОТВЕТЫ УЧАЩИХСЯ'!Q26=4),AND(E26=2,'ОТВЕТЫ УЧАЩИХСЯ'!Q26=1),AND(E26=3,'ОТВЕТЫ УЧАЩИХСЯ'!Q26=3),AND(E26=4,'ОТВЕТЫ УЧАЩИХСЯ'!Q26=4)),1,IF('ОТВЕТЫ УЧАЩИХСЯ'!Q26="N",'ОТВЕТЫ УЧАЩИХСЯ'!Q26,0)),"")),"")</f>
        <v>1</v>
      </c>
      <c r="S26" s="151">
        <f>IF(AND(OR($C26&lt;&gt;"",$D26&lt;&gt;""),$A26=1,$AA$6="ДА"),(IF(A26=1,IF(OR(AND(E26=1,'ОТВЕТЫ УЧАЩИХСЯ'!R26=3),AND(E26=2,'ОТВЕТЫ УЧАЩИХСЯ'!R26=4),AND(E26=3,'ОТВЕТЫ УЧАЩИХСЯ'!R26=2),AND(E26=4,'ОТВЕТЫ УЧАЩИХСЯ'!R26=1)),1,IF('ОТВЕТЫ УЧАЩИХСЯ'!R26="N",'ОТВЕТЫ УЧАЩИХСЯ'!R26,0)),"")),"")</f>
        <v>1</v>
      </c>
      <c r="T26" s="151">
        <f>IF(AND(OR($C26&lt;&gt;"",$D26&lt;&gt;""),$A26=1,$AA$6="ДА"),(IF(A26=1,IF(OR(AND(E26=1,'ОТВЕТЫ УЧАЩИХСЯ'!S26=1),AND(E26=2,'ОТВЕТЫ УЧАЩИХСЯ'!S26=2),AND(E26=3,'ОТВЕТЫ УЧАЩИХСЯ'!S26=2),AND(E26=4,'ОТВЕТЫ УЧАЩИХСЯ'!S26=3)),1,IF('ОТВЕТЫ УЧАЩИХСЯ'!S26="N",'ОТВЕТЫ УЧАЩИХСЯ'!S26,0)),"")),"")</f>
        <v>1</v>
      </c>
      <c r="U26" s="99">
        <f t="shared" si="5"/>
        <v>2</v>
      </c>
      <c r="V26" s="99">
        <f>IF(AND(OR($C26&lt;&gt;"",$D26&lt;&gt;""),$A26=1,$AA$6="ДА"),(IF(A26=1,IF(OR(AND(E26=1,'ОТВЕТЫ УЧАЩИХСЯ'!T26=274),AND(E26=2,'ОТВЕТЫ УЧАЩИХСЯ'!T26=3),AND(E26=3,'ОТВЕТЫ УЧАЩИХСЯ'!T26=778),AND(E26=4,'ОТВЕТЫ УЧАЩИХСЯ'!T26=40)),1,IF('ОТВЕТЫ УЧАЩИХСЯ'!T26="N",'ОТВЕТЫ УЧАЩИХСЯ'!T26,0)),"")),"")</f>
        <v>1</v>
      </c>
      <c r="W26" s="99">
        <f>IF(AND(OR($C26&lt;&gt;"",$D26&lt;&gt;""),$A26=1,$AA$6="ДА"),(IF(A26=1,IF(OR(AND(E26=1,'ОТВЕТЫ УЧАЩИХСЯ'!U26=49),AND(E26=2,'ОТВЕТЫ УЧАЩИХСЯ'!U26=2),AND(E26=3,'ОТВЕТЫ УЧАЩИХСЯ'!U26="САТУРН,ЮПИТЕР"),AND(E26=4,'ОТВЕТЫ УЧАЩИХСЯ'!U26=8)),1,IF('ОТВЕТЫ УЧАЩИХСЯ'!U26="N",'ОТВЕТЫ УЧАЩИХСЯ'!U26,0)),"")),"")</f>
        <v>1</v>
      </c>
      <c r="X26" s="99">
        <f>IF(AND(OR($C26&lt;&gt;"",$D26&lt;&gt;""),$A26=1,$AA$6="ДА"),(IF(A26=1,IF(OR(AND(E26=1,'ОТВЕТЫ УЧАЩИХСЯ'!V26=20),AND(E26=2,'ОТВЕТЫ УЧАЩИХСЯ'!V26=20),AND(E26=3,'ОТВЕТЫ УЧАЩИХСЯ'!V26=22),AND(E26=4,'ОТВЕТЫ УЧАЩИХСЯ'!V26=85)),2,IF('ОТВЕТЫ УЧАЩИХСЯ'!V26="N",'ОТВЕТЫ УЧАЩИХСЯ'!V26,0)),"")),"")</f>
        <v>2</v>
      </c>
      <c r="Y26" s="99" t="str">
        <f>IF(AND(OR($C26&lt;&gt;"",$D26&lt;&gt;""),$A26=1,$AA$6="ДА"),IF((ISBLANK($D26)),"",IF($A$20=1,'ОТВЕТЫ УЧАЩИХСЯ'!W26,"")),"")</f>
        <v/>
      </c>
      <c r="Z26" s="332">
        <f t="shared" si="6"/>
        <v>22</v>
      </c>
      <c r="AA26" s="309">
        <f t="shared" si="7"/>
        <v>0.88</v>
      </c>
      <c r="AB26" s="310">
        <f t="shared" si="8"/>
        <v>10</v>
      </c>
      <c r="AC26" s="311">
        <f t="shared" si="9"/>
        <v>90.909090909090907</v>
      </c>
      <c r="AD26" s="310">
        <f t="shared" si="10"/>
        <v>12</v>
      </c>
      <c r="AE26" s="311">
        <f t="shared" si="11"/>
        <v>85.714285714285708</v>
      </c>
      <c r="AF26" s="312" t="str">
        <f t="shared" si="12"/>
        <v>ПОВЫШЕННЫЙ</v>
      </c>
      <c r="AG26" s="273">
        <f t="shared" si="13"/>
        <v>15.625</v>
      </c>
      <c r="AH26" s="210">
        <f t="shared" si="14"/>
        <v>0.625</v>
      </c>
      <c r="AI26" s="374">
        <f t="shared" si="15"/>
        <v>15.625</v>
      </c>
      <c r="AJ26" s="375">
        <f t="shared" si="4"/>
        <v>74.621212121212125</v>
      </c>
      <c r="AK26" s="6"/>
      <c r="AL26" s="6"/>
      <c r="AM26" s="6"/>
      <c r="AN26" s="6"/>
      <c r="AO26" s="6"/>
      <c r="AP26" s="6"/>
    </row>
    <row r="27" spans="1:42" ht="12.75" customHeight="1" thickBot="1">
      <c r="A27" s="12">
        <f>IF('СПИСОК КЛАССА'!J27&gt;0,1,0)</f>
        <v>1</v>
      </c>
      <c r="B27" s="97">
        <v>8</v>
      </c>
      <c r="C27" s="98">
        <f>IF(NOT(ISBLANK('СПИСОК КЛАССА'!C27)),'СПИСОК КЛАССА'!C27,"")</f>
        <v>8</v>
      </c>
      <c r="D27" s="131" t="str">
        <f>IF(NOT(ISBLANK('СПИСОК КЛАССА'!D27)),IF($A27=1,'СПИСОК КЛАССА'!D27, "УЧЕНИК НЕ ВЫПОЛНЯЛ РАБОТУ"),"")</f>
        <v/>
      </c>
      <c r="E27" s="149">
        <f>IF($C27&lt;&gt;"",'СПИСОК КЛАССА'!J27,"")</f>
        <v>4</v>
      </c>
      <c r="F27" s="99">
        <f>IF(AND(OR($C27&lt;&gt;"",$D27&lt;&gt;""),$A27=1,$AA$6="ДА"),(IF(A27=1,IF(OR(AND(E27=1,'ОТВЕТЫ УЧАЩИХСЯ'!E27=1),AND(E27=2,'ОТВЕТЫ УЧАЩИХСЯ'!E27=2),AND(E27=3,'ОТВЕТЫ УЧАЩИХСЯ'!E27=4),AND(E27=4,'ОТВЕТЫ УЧАЩИХСЯ'!E27=2)),1,IF('ОТВЕТЫ УЧАЩИХСЯ'!E27="N",'ОТВЕТЫ УЧАЩИХСЯ'!E27,0)),"")),"")</f>
        <v>1</v>
      </c>
      <c r="G27" s="151">
        <f>IF(AND(OR($C27&lt;&gt;"",$D27&lt;&gt;""),$A27=1,$AA$6="ДА"),(IF(A27=1,IF(OR(AND(E27=1,'ОТВЕТЫ УЧАЩИХСЯ'!F27=4),AND(E27=2,'ОТВЕТЫ УЧАЩИХСЯ'!F27=1),AND(E27=3,'ОТВЕТЫ УЧАЩИХСЯ'!F27=2),AND(E27=4,'ОТВЕТЫ УЧАЩИХСЯ'!F27=3)),1,IF('ОТВЕТЫ УЧАЩИХСЯ'!F27="N",'ОТВЕТЫ УЧАЩИХСЯ'!F27,0)),"")),"")</f>
        <v>1</v>
      </c>
      <c r="H27" s="151">
        <f>IF(AND(OR($C27&lt;&gt;"",$D27&lt;&gt;""),$A27=1,$AA$6="ДА"),(IF(A27=1,IF(OR(AND(E27=1,'ОТВЕТЫ УЧАЩИХСЯ'!G27=4),AND(E27=2,'ОТВЕТЫ УЧАЩИХСЯ'!G27=3),AND(E27=3,'ОТВЕТЫ УЧАЩИХСЯ'!G27=4),AND(E27=4,'ОТВЕТЫ УЧАЩИХСЯ'!G27=4)),1,IF('ОТВЕТЫ УЧАЩИХСЯ'!G27="N",'ОТВЕТЫ УЧАЩИХСЯ'!G27,0)),"")),"")</f>
        <v>1</v>
      </c>
      <c r="I27" s="151">
        <f>IF(AND(OR($C27&lt;&gt;"",$D27&lt;&gt;""),$A27=1,$AA$6="ДА"),(IF(A27=1,IF(OR(AND(E27=1,'ОТВЕТЫ УЧАЩИХСЯ'!H27=2),AND(E27=2,'ОТВЕТЫ УЧАЩИХСЯ'!H27=1),AND(E27=3,'ОТВЕТЫ УЧАЩИХСЯ'!H27=3),AND(E27=4,'ОТВЕТЫ УЧАЩИХСЯ'!H27=4)),1,IF('ОТВЕТЫ УЧАЩИХСЯ'!H27="N",'ОТВЕТЫ УЧАЩИХСЯ'!H27,0)),"")),"")</f>
        <v>0</v>
      </c>
      <c r="J27" s="151">
        <f>IF(AND(OR($C27&lt;&gt;"",$D27&lt;&gt;""),$A27=1,$AA$6="ДА"),(IF(A27=1,IF(OR(AND(E27=1,'ОТВЕТЫ УЧАЩИХСЯ'!I27=3),AND(E27=2,'ОТВЕТЫ УЧАЩИХСЯ'!I27=4),AND(E27=3,'ОТВЕТЫ УЧАЩИХСЯ'!I27=3),AND(E27=4,'ОТВЕТЫ УЧАЩИХСЯ'!I27=1)),1,IF('ОТВЕТЫ УЧАЩИХСЯ'!I27="N",'ОТВЕТЫ УЧАЩИХСЯ'!I27,0)),"")),"")</f>
        <v>0</v>
      </c>
      <c r="K27" s="151">
        <f>IF(AND(OR($C27&lt;&gt;"",$D27&lt;&gt;""),$A27=1,$AA$6="ДА"),(IF(A27=1,IF(OR(AND(E27=1,'ОТВЕТЫ УЧАЩИХСЯ'!J27=3),AND(E27=2,'ОТВЕТЫ УЧАЩИХСЯ'!J27=3),AND(E27=3,'ОТВЕТЫ УЧАЩИХСЯ'!J27=2),AND(E27=4,'ОТВЕТЫ УЧАЩИХСЯ'!J27=4)),1,IF('ОТВЕТЫ УЧАЩИХСЯ'!J27="N",'ОТВЕТЫ УЧАЩИХСЯ'!J27,0)),"")),"")</f>
        <v>0</v>
      </c>
      <c r="L27" s="151">
        <f>IF(AND(OR($C27&lt;&gt;"",$D27&lt;&gt;""),$A27=1,$AA$6="ДА"),(IF(A27=1,IF(OR(AND(E27=1,'ОТВЕТЫ УЧАЩИХСЯ'!K27=2),AND(E27=2,'ОТВЕТЫ УЧАЩИХСЯ'!K27=4),AND(E27=3,'ОТВЕТЫ УЧАЩИХСЯ'!K27=1),AND(E27=4,'ОТВЕТЫ УЧАЩИХСЯ'!K27=3)),2,IF('ОТВЕТЫ УЧАЩИХСЯ'!K27="N",'ОТВЕТЫ УЧАЩИХСЯ'!K27,0)),"")),"")</f>
        <v>2</v>
      </c>
      <c r="M27" s="151">
        <f>IF(AND(OR($C27&lt;&gt;"",$D27&lt;&gt;""),$A27=1,$AA$6="ДА"),(IF(A27=1,IF(OR(AND(E27=1,'ОТВЕТЫ УЧАЩИХСЯ'!L27=4),AND(E27=2,'ОТВЕТЫ УЧАЩИХСЯ'!L27=1),AND(E27=3,'ОТВЕТЫ УЧАЩИХСЯ'!L27=4),AND(E27=4,'ОТВЕТЫ УЧАЩИХСЯ'!L27=2)),2,IF('ОТВЕТЫ УЧАЩИХСЯ'!L27="N",'ОТВЕТЫ УЧАЩИХСЯ'!L27,0)),"")),"")</f>
        <v>2</v>
      </c>
      <c r="N27" s="151">
        <f>IF(AND(OR($C27&lt;&gt;"",$D27&lt;&gt;""),$A27=1,$AA$6="ДА"),(IF(A27=1,IF(OR(AND(E27=1,'ОТВЕТЫ УЧАЩИХСЯ'!M27=1),AND(E27=2,'ОТВЕТЫ УЧАЩИХСЯ'!M27=3),AND(E27=3,'ОТВЕТЫ УЧАЩИХСЯ'!M27=3),AND(E27=4,'ОТВЕТЫ УЧАЩИХСЯ'!M27=1)),2,IF('ОТВЕТЫ УЧАЩИХСЯ'!M27="N",'ОТВЕТЫ УЧАЩИХСЯ'!M27,0)),"")),"")</f>
        <v>0</v>
      </c>
      <c r="O27" s="151">
        <f>IF(AND(OR($C27&lt;&gt;"",$D27&lt;&gt;""),$A27=1,$AA$6="ДА"),(IF(A27=1,IF(OR(AND(E27=1,'ОТВЕТЫ УЧАЩИХСЯ'!N27=2),AND(E27=2,'ОТВЕТЫ УЧАЩИХСЯ'!N27=1),AND(E27=3,'ОТВЕТЫ УЧАЩИХСЯ'!N27=3),AND(E27=4,'ОТВЕТЫ УЧАЩИХСЯ'!N27=3)),1,IF('ОТВЕТЫ УЧАЩИХСЯ'!N27="N",'ОТВЕТЫ УЧАЩИХСЯ'!N27,0)),"")),"")</f>
        <v>1</v>
      </c>
      <c r="P27" s="151">
        <f>IF(AND(OR($C27&lt;&gt;"",$D27&lt;&gt;""),$A27=1,$AA$6="ДА"),(IF(A27=1,IF(OR(AND(E27=1,'ОТВЕТЫ УЧАЩИХСЯ'!O27=3),AND(E27=2,'ОТВЕТЫ УЧАЩИХСЯ'!O27=4),AND(E27=3,'ОТВЕТЫ УЧАЩИХСЯ'!O27=2),AND(E27=4,'ОТВЕТЫ УЧАЩИХСЯ'!O27=2)),1,IF('ОТВЕТЫ УЧАЩИХСЯ'!O27="N",'ОТВЕТЫ УЧАЩИХСЯ'!O27,0)),"")),"")</f>
        <v>0</v>
      </c>
      <c r="Q27" s="151">
        <f>IF(AND(OR($C27&lt;&gt;"",$D27&lt;&gt;""),$A27=1,$AA$6="ДА"),(IF(A27=1,IF(OR(AND(E27=1,'ОТВЕТЫ УЧАЩИХСЯ'!P27=4),AND(E27=2,'ОТВЕТЫ УЧАЩИХСЯ'!P27=2),AND(E27=3,'ОТВЕТЫ УЧАЩИХСЯ'!P27=3),AND(E27=4,'ОТВЕТЫ УЧАЩИХСЯ'!P27=2)),2,IF('ОТВЕТЫ УЧАЩИХСЯ'!P27="N",'ОТВЕТЫ УЧАЩИХСЯ'!P27,0)),"")),"")</f>
        <v>2</v>
      </c>
      <c r="R27" s="151">
        <f>IF(AND(OR($C27&lt;&gt;"",$D27&lt;&gt;""),$A27=1,$AA$6="ДА"),(IF(A27=1,IF(OR(AND(E27=1,'ОТВЕТЫ УЧАЩИХСЯ'!Q27=4),AND(E27=2,'ОТВЕТЫ УЧАЩИХСЯ'!Q27=1),AND(E27=3,'ОТВЕТЫ УЧАЩИХСЯ'!Q27=3),AND(E27=4,'ОТВЕТЫ УЧАЩИХСЯ'!Q27=4)),1,IF('ОТВЕТЫ УЧАЩИХСЯ'!Q27="N",'ОТВЕТЫ УЧАЩИХСЯ'!Q27,0)),"")),"")</f>
        <v>1</v>
      </c>
      <c r="S27" s="151">
        <f>IF(AND(OR($C27&lt;&gt;"",$D27&lt;&gt;""),$A27=1,$AA$6="ДА"),(IF(A27=1,IF(OR(AND(E27=1,'ОТВЕТЫ УЧАЩИХСЯ'!R27=3),AND(E27=2,'ОТВЕТЫ УЧАЩИХСЯ'!R27=4),AND(E27=3,'ОТВЕТЫ УЧАЩИХСЯ'!R27=2),AND(E27=4,'ОТВЕТЫ УЧАЩИХСЯ'!R27=1)),1,IF('ОТВЕТЫ УЧАЩИХСЯ'!R27="N",'ОТВЕТЫ УЧАЩИХСЯ'!R27,0)),"")),"")</f>
        <v>1</v>
      </c>
      <c r="T27" s="151">
        <f>IF(AND(OR($C27&lt;&gt;"",$D27&lt;&gt;""),$A27=1,$AA$6="ДА"),(IF(A27=1,IF(OR(AND(E27=1,'ОТВЕТЫ УЧАЩИХСЯ'!S27=1),AND(E27=2,'ОТВЕТЫ УЧАЩИХСЯ'!S27=2),AND(E27=3,'ОТВЕТЫ УЧАЩИХСЯ'!S27=2),AND(E27=4,'ОТВЕТЫ УЧАЩИХСЯ'!S27=3)),1,IF('ОТВЕТЫ УЧАЩИХСЯ'!S27="N",'ОТВЕТЫ УЧАЩИХСЯ'!S27,0)),"")),"")</f>
        <v>1</v>
      </c>
      <c r="U27" s="99">
        <f t="shared" si="5"/>
        <v>0</v>
      </c>
      <c r="V27" s="99">
        <f>IF(AND(OR($C27&lt;&gt;"",$D27&lt;&gt;""),$A27=1,$AA$6="ДА"),(IF(A27=1,IF(OR(AND(E27=1,'ОТВЕТЫ УЧАЩИХСЯ'!T27=274),AND(E27=2,'ОТВЕТЫ УЧАЩИХСЯ'!T27=3),AND(E27=3,'ОТВЕТЫ УЧАЩИХСЯ'!T27=778),AND(E27=4,'ОТВЕТЫ УЧАЩИХСЯ'!T27=40)),1,IF('ОТВЕТЫ УЧАЩИХСЯ'!T27="N",'ОТВЕТЫ УЧАЩИХСЯ'!T27,0)),"")),"")</f>
        <v>0</v>
      </c>
      <c r="W27" s="99">
        <f>IF(AND(OR($C27&lt;&gt;"",$D27&lt;&gt;""),$A27=1,$AA$6="ДА"),(IF(A27=1,IF(OR(AND(E27=1,'ОТВЕТЫ УЧАЩИХСЯ'!U27=49),AND(E27=2,'ОТВЕТЫ УЧАЩИХСЯ'!U27=2),AND(E27=3,'ОТВЕТЫ УЧАЩИХСЯ'!U27="САТУРН,ЮПИТЕР"),AND(E27=4,'ОТВЕТЫ УЧАЩИХСЯ'!U27=8)),1,IF('ОТВЕТЫ УЧАЩИХСЯ'!U27="N",'ОТВЕТЫ УЧАЩИХСЯ'!U27,0)),"")),"")</f>
        <v>0</v>
      </c>
      <c r="X27" s="99">
        <f>IF(AND(OR($C27&lt;&gt;"",$D27&lt;&gt;""),$A27=1,$AA$6="ДА"),(IF(A27=1,IF(OR(AND(E27=1,'ОТВЕТЫ УЧАЩИХСЯ'!V27=20),AND(E27=2,'ОТВЕТЫ УЧАЩИХСЯ'!V27=20),AND(E27=3,'ОТВЕТЫ УЧАЩИХСЯ'!V27=22),AND(E27=4,'ОТВЕТЫ УЧАЩИХСЯ'!V27=85)),2,IF('ОТВЕТЫ УЧАЩИХСЯ'!V27="N",'ОТВЕТЫ УЧАЩИХСЯ'!V27,0)),"")),"")</f>
        <v>2</v>
      </c>
      <c r="Y27" s="99" t="str">
        <f>IF(AND(OR($C27&lt;&gt;"",$D27&lt;&gt;""),$A27=1,$AA$6="ДА"),IF((ISBLANK($D27)),"",IF($A$20=1,'ОТВЕТЫ УЧАЩИХСЯ'!W27,"")),"")</f>
        <v/>
      </c>
      <c r="Z27" s="332">
        <f t="shared" si="6"/>
        <v>15</v>
      </c>
      <c r="AA27" s="309">
        <f t="shared" si="7"/>
        <v>0.6</v>
      </c>
      <c r="AB27" s="310">
        <f t="shared" si="8"/>
        <v>7</v>
      </c>
      <c r="AC27" s="311">
        <f t="shared" si="9"/>
        <v>63.636363636363633</v>
      </c>
      <c r="AD27" s="310">
        <f t="shared" si="10"/>
        <v>8</v>
      </c>
      <c r="AE27" s="311">
        <f t="shared" si="11"/>
        <v>57.142857142857139</v>
      </c>
      <c r="AF27" s="312" t="str">
        <f t="shared" si="12"/>
        <v>БАЗОВЫЙ</v>
      </c>
      <c r="AG27" s="273">
        <f t="shared" si="13"/>
        <v>15.625</v>
      </c>
      <c r="AH27" s="210">
        <f t="shared" si="14"/>
        <v>0.625</v>
      </c>
      <c r="AI27" s="374">
        <f t="shared" si="15"/>
        <v>15.625</v>
      </c>
      <c r="AJ27" s="375">
        <f t="shared" si="4"/>
        <v>74.621212121212125</v>
      </c>
      <c r="AK27" s="6"/>
      <c r="AL27" s="6"/>
      <c r="AM27" s="6"/>
      <c r="AN27" s="6"/>
      <c r="AO27" s="6"/>
      <c r="AP27" s="6"/>
    </row>
    <row r="28" spans="1:42" ht="12.75" customHeight="1" thickBot="1">
      <c r="A28" s="12">
        <f>IF('СПИСОК КЛАССА'!J28&gt;0,1,0)</f>
        <v>1</v>
      </c>
      <c r="B28" s="97">
        <v>9</v>
      </c>
      <c r="C28" s="98">
        <f>IF(NOT(ISBLANK('СПИСОК КЛАССА'!C28)),'СПИСОК КЛАССА'!C28,"")</f>
        <v>9</v>
      </c>
      <c r="D28" s="131" t="str">
        <f>IF(NOT(ISBLANK('СПИСОК КЛАССА'!D28)),IF($A28=1,'СПИСОК КЛАССА'!D28, "УЧЕНИК НЕ ВЫПОЛНЯЛ РАБОТУ"),"")</f>
        <v/>
      </c>
      <c r="E28" s="149">
        <f>IF($C28&lt;&gt;"",'СПИСОК КЛАССА'!J28,"")</f>
        <v>4</v>
      </c>
      <c r="F28" s="99">
        <f>IF(AND(OR($C28&lt;&gt;"",$D28&lt;&gt;""),$A28=1,$AA$6="ДА"),(IF(A28=1,IF(OR(AND(E28=1,'ОТВЕТЫ УЧАЩИХСЯ'!E28=1),AND(E28=2,'ОТВЕТЫ УЧАЩИХСЯ'!E28=2),AND(E28=3,'ОТВЕТЫ УЧАЩИХСЯ'!E28=4),AND(E28=4,'ОТВЕТЫ УЧАЩИХСЯ'!E28=2)),1,IF('ОТВЕТЫ УЧАЩИХСЯ'!E28="N",'ОТВЕТЫ УЧАЩИХСЯ'!E28,0)),"")),"")</f>
        <v>1</v>
      </c>
      <c r="G28" s="151">
        <f>IF(AND(OR($C28&lt;&gt;"",$D28&lt;&gt;""),$A28=1,$AA$6="ДА"),(IF(A28=1,IF(OR(AND(E28=1,'ОТВЕТЫ УЧАЩИХСЯ'!F28=4),AND(E28=2,'ОТВЕТЫ УЧАЩИХСЯ'!F28=1),AND(E28=3,'ОТВЕТЫ УЧАЩИХСЯ'!F28=2),AND(E28=4,'ОТВЕТЫ УЧАЩИХСЯ'!F28=3)),1,IF('ОТВЕТЫ УЧАЩИХСЯ'!F28="N",'ОТВЕТЫ УЧАЩИХСЯ'!F28,0)),"")),"")</f>
        <v>1</v>
      </c>
      <c r="H28" s="151">
        <f>IF(AND(OR($C28&lt;&gt;"",$D28&lt;&gt;""),$A28=1,$AA$6="ДА"),(IF(A28=1,IF(OR(AND(E28=1,'ОТВЕТЫ УЧАЩИХСЯ'!G28=4),AND(E28=2,'ОТВЕТЫ УЧАЩИХСЯ'!G28=3),AND(E28=3,'ОТВЕТЫ УЧАЩИХСЯ'!G28=4),AND(E28=4,'ОТВЕТЫ УЧАЩИХСЯ'!G28=4)),1,IF('ОТВЕТЫ УЧАЩИХСЯ'!G28="N",'ОТВЕТЫ УЧАЩИХСЯ'!G28,0)),"")),"")</f>
        <v>0</v>
      </c>
      <c r="I28" s="151">
        <f>IF(AND(OR($C28&lt;&gt;"",$D28&lt;&gt;""),$A28=1,$AA$6="ДА"),(IF(A28=1,IF(OR(AND(E28=1,'ОТВЕТЫ УЧАЩИХСЯ'!H28=2),AND(E28=2,'ОТВЕТЫ УЧАЩИХСЯ'!H28=1),AND(E28=3,'ОТВЕТЫ УЧАЩИХСЯ'!H28=3),AND(E28=4,'ОТВЕТЫ УЧАЩИХСЯ'!H28=4)),1,IF('ОТВЕТЫ УЧАЩИХСЯ'!H28="N",'ОТВЕТЫ УЧАЩИХСЯ'!H28,0)),"")),"")</f>
        <v>1</v>
      </c>
      <c r="J28" s="151">
        <f>IF(AND(OR($C28&lt;&gt;"",$D28&lt;&gt;""),$A28=1,$AA$6="ДА"),(IF(A28=1,IF(OR(AND(E28=1,'ОТВЕТЫ УЧАЩИХСЯ'!I28=3),AND(E28=2,'ОТВЕТЫ УЧАЩИХСЯ'!I28=4),AND(E28=3,'ОТВЕТЫ УЧАЩИХСЯ'!I28=3),AND(E28=4,'ОТВЕТЫ УЧАЩИХСЯ'!I28=1)),1,IF('ОТВЕТЫ УЧАЩИХСЯ'!I28="N",'ОТВЕТЫ УЧАЩИХСЯ'!I28,0)),"")),"")</f>
        <v>1</v>
      </c>
      <c r="K28" s="151">
        <f>IF(AND(OR($C28&lt;&gt;"",$D28&lt;&gt;""),$A28=1,$AA$6="ДА"),(IF(A28=1,IF(OR(AND(E28=1,'ОТВЕТЫ УЧАЩИХСЯ'!J28=3),AND(E28=2,'ОТВЕТЫ УЧАЩИХСЯ'!J28=3),AND(E28=3,'ОТВЕТЫ УЧАЩИХСЯ'!J28=2),AND(E28=4,'ОТВЕТЫ УЧАЩИХСЯ'!J28=4)),1,IF('ОТВЕТЫ УЧАЩИХСЯ'!J28="N",'ОТВЕТЫ УЧАЩИХСЯ'!J28,0)),"")),"")</f>
        <v>1</v>
      </c>
      <c r="L28" s="151">
        <f>IF(AND(OR($C28&lt;&gt;"",$D28&lt;&gt;""),$A28=1,$AA$6="ДА"),(IF(A28=1,IF(OR(AND(E28=1,'ОТВЕТЫ УЧАЩИХСЯ'!K28=2),AND(E28=2,'ОТВЕТЫ УЧАЩИХСЯ'!K28=4),AND(E28=3,'ОТВЕТЫ УЧАЩИХСЯ'!K28=1),AND(E28=4,'ОТВЕТЫ УЧАЩИХСЯ'!K28=3)),2,IF('ОТВЕТЫ УЧАЩИХСЯ'!K28="N",'ОТВЕТЫ УЧАЩИХСЯ'!K28,0)),"")),"")</f>
        <v>0</v>
      </c>
      <c r="M28" s="151">
        <f>IF(AND(OR($C28&lt;&gt;"",$D28&lt;&gt;""),$A28=1,$AA$6="ДА"),(IF(A28=1,IF(OR(AND(E28=1,'ОТВЕТЫ УЧАЩИХСЯ'!L28=4),AND(E28=2,'ОТВЕТЫ УЧАЩИХСЯ'!L28=1),AND(E28=3,'ОТВЕТЫ УЧАЩИХСЯ'!L28=4),AND(E28=4,'ОТВЕТЫ УЧАЩИХСЯ'!L28=2)),2,IF('ОТВЕТЫ УЧАЩИХСЯ'!L28="N",'ОТВЕТЫ УЧАЩИХСЯ'!L28,0)),"")),"")</f>
        <v>0</v>
      </c>
      <c r="N28" s="151">
        <f>IF(AND(OR($C28&lt;&gt;"",$D28&lt;&gt;""),$A28=1,$AA$6="ДА"),(IF(A28=1,IF(OR(AND(E28=1,'ОТВЕТЫ УЧАЩИХСЯ'!M28=1),AND(E28=2,'ОТВЕТЫ УЧАЩИХСЯ'!M28=3),AND(E28=3,'ОТВЕТЫ УЧАЩИХСЯ'!M28=3),AND(E28=4,'ОТВЕТЫ УЧАЩИХСЯ'!M28=1)),2,IF('ОТВЕТЫ УЧАЩИХСЯ'!M28="N",'ОТВЕТЫ УЧАЩИХСЯ'!M28,0)),"")),"")</f>
        <v>2</v>
      </c>
      <c r="O28" s="151">
        <f>IF(AND(OR($C28&lt;&gt;"",$D28&lt;&gt;""),$A28=1,$AA$6="ДА"),(IF(A28=1,IF(OR(AND(E28=1,'ОТВЕТЫ УЧАЩИХСЯ'!N28=2),AND(E28=2,'ОТВЕТЫ УЧАЩИХСЯ'!N28=1),AND(E28=3,'ОТВЕТЫ УЧАЩИХСЯ'!N28=3),AND(E28=4,'ОТВЕТЫ УЧАЩИХСЯ'!N28=3)),1,IF('ОТВЕТЫ УЧАЩИХСЯ'!N28="N",'ОТВЕТЫ УЧАЩИХСЯ'!N28,0)),"")),"")</f>
        <v>0</v>
      </c>
      <c r="P28" s="151">
        <f>IF(AND(OR($C28&lt;&gt;"",$D28&lt;&gt;""),$A28=1,$AA$6="ДА"),(IF(A28=1,IF(OR(AND(E28=1,'ОТВЕТЫ УЧАЩИХСЯ'!O28=3),AND(E28=2,'ОТВЕТЫ УЧАЩИХСЯ'!O28=4),AND(E28=3,'ОТВЕТЫ УЧАЩИХСЯ'!O28=2),AND(E28=4,'ОТВЕТЫ УЧАЩИХСЯ'!O28=2)),1,IF('ОТВЕТЫ УЧАЩИХСЯ'!O28="N",'ОТВЕТЫ УЧАЩИХСЯ'!O28,0)),"")),"")</f>
        <v>1</v>
      </c>
      <c r="Q28" s="151">
        <f>IF(AND(OR($C28&lt;&gt;"",$D28&lt;&gt;""),$A28=1,$AA$6="ДА"),(IF(A28=1,IF(OR(AND(E28=1,'ОТВЕТЫ УЧАЩИХСЯ'!P28=4),AND(E28=2,'ОТВЕТЫ УЧАЩИХСЯ'!P28=2),AND(E28=3,'ОТВЕТЫ УЧАЩИХСЯ'!P28=3),AND(E28=4,'ОТВЕТЫ УЧАЩИХСЯ'!P28=2)),2,IF('ОТВЕТЫ УЧАЩИХСЯ'!P28="N",'ОТВЕТЫ УЧАЩИХСЯ'!P28,0)),"")),"")</f>
        <v>2</v>
      </c>
      <c r="R28" s="151">
        <f>IF(AND(OR($C28&lt;&gt;"",$D28&lt;&gt;""),$A28=1,$AA$6="ДА"),(IF(A28=1,IF(OR(AND(E28=1,'ОТВЕТЫ УЧАЩИХСЯ'!Q28=4),AND(E28=2,'ОТВЕТЫ УЧАЩИХСЯ'!Q28=1),AND(E28=3,'ОТВЕТЫ УЧАЩИХСЯ'!Q28=3),AND(E28=4,'ОТВЕТЫ УЧАЩИХСЯ'!Q28=4)),1,IF('ОТВЕТЫ УЧАЩИХСЯ'!Q28="N",'ОТВЕТЫ УЧАЩИХСЯ'!Q28,0)),"")),"")</f>
        <v>1</v>
      </c>
      <c r="S28" s="151">
        <f>IF(AND(OR($C28&lt;&gt;"",$D28&lt;&gt;""),$A28=1,$AA$6="ДА"),(IF(A28=1,IF(OR(AND(E28=1,'ОТВЕТЫ УЧАЩИХСЯ'!R28=3),AND(E28=2,'ОТВЕТЫ УЧАЩИХСЯ'!R28=4),AND(E28=3,'ОТВЕТЫ УЧАЩИХСЯ'!R28=2),AND(E28=4,'ОТВЕТЫ УЧАЩИХСЯ'!R28=1)),1,IF('ОТВЕТЫ УЧАЩИХСЯ'!R28="N",'ОТВЕТЫ УЧАЩИХСЯ'!R28,0)),"")),"")</f>
        <v>1</v>
      </c>
      <c r="T28" s="151">
        <f>IF(AND(OR($C28&lt;&gt;"",$D28&lt;&gt;""),$A28=1,$AA$6="ДА"),(IF(A28=1,IF(OR(AND(E28=1,'ОТВЕТЫ УЧАЩИХСЯ'!S28=1),AND(E28=2,'ОТВЕТЫ УЧАЩИХСЯ'!S28=2),AND(E28=3,'ОТВЕТЫ УЧАЩИХСЯ'!S28=2),AND(E28=4,'ОТВЕТЫ УЧАЩИХСЯ'!S28=3)),1,IF('ОТВЕТЫ УЧАЩИХСЯ'!S28="N",'ОТВЕТЫ УЧАЩИХСЯ'!S28,0)),"")),"")</f>
        <v>1</v>
      </c>
      <c r="U28" s="99">
        <f t="shared" si="5"/>
        <v>1</v>
      </c>
      <c r="V28" s="99">
        <f>IF(AND(OR($C28&lt;&gt;"",$D28&lt;&gt;""),$A28=1,$AA$6="ДА"),(IF(A28=1,IF(OR(AND(E28=1,'ОТВЕТЫ УЧАЩИХСЯ'!T28=274),AND(E28=2,'ОТВЕТЫ УЧАЩИХСЯ'!T28=3),AND(E28=3,'ОТВЕТЫ УЧАЩИХСЯ'!T28=778),AND(E28=4,'ОТВЕТЫ УЧАЩИХСЯ'!T28=40)),1,IF('ОТВЕТЫ УЧАЩИХСЯ'!T28="N",'ОТВЕТЫ УЧАЩИХСЯ'!T28,0)),"")),"")</f>
        <v>0</v>
      </c>
      <c r="W28" s="99">
        <f>IF(AND(OR($C28&lt;&gt;"",$D28&lt;&gt;""),$A28=1,$AA$6="ДА"),(IF(A28=1,IF(OR(AND(E28=1,'ОТВЕТЫ УЧАЩИХСЯ'!U28=49),AND(E28=2,'ОТВЕТЫ УЧАЩИХСЯ'!U28=2),AND(E28=3,'ОТВЕТЫ УЧАЩИХСЯ'!U28="САТУРН,ЮПИТЕР"),AND(E28=4,'ОТВЕТЫ УЧАЩИХСЯ'!U28=8)),1,IF('ОТВЕТЫ УЧАЩИХСЯ'!U28="N",'ОТВЕТЫ УЧАЩИХСЯ'!U28,0)),"")),"")</f>
        <v>1</v>
      </c>
      <c r="X28" s="99">
        <f>IF(AND(OR($C28&lt;&gt;"",$D28&lt;&gt;""),$A28=1,$AA$6="ДА"),(IF(A28=1,IF(OR(AND(E28=1,'ОТВЕТЫ УЧАЩИХСЯ'!V28=20),AND(E28=2,'ОТВЕТЫ УЧАЩИХСЯ'!V28=20),AND(E28=3,'ОТВЕТЫ УЧАЩИХСЯ'!V28=22),AND(E28=4,'ОТВЕТЫ УЧАЩИХСЯ'!V28=85)),2,IF('ОТВЕТЫ УЧАЩИХСЯ'!V28="N",'ОТВЕТЫ УЧАЩИХСЯ'!V28,0)),"")),"")</f>
        <v>2</v>
      </c>
      <c r="Y28" s="99" t="str">
        <f>IF(AND(OR($C28&lt;&gt;"",$D28&lt;&gt;""),$A28=1,$AA$6="ДА"),IF((ISBLANK($D28)),"",IF($A$20=1,'ОТВЕТЫ УЧАЩИХСЯ'!W28,"")),"")</f>
        <v/>
      </c>
      <c r="Z28" s="332">
        <f t="shared" si="6"/>
        <v>16</v>
      </c>
      <c r="AA28" s="309">
        <f t="shared" si="7"/>
        <v>0.64</v>
      </c>
      <c r="AB28" s="310">
        <f t="shared" si="8"/>
        <v>9</v>
      </c>
      <c r="AC28" s="311">
        <f t="shared" si="9"/>
        <v>81.818181818181827</v>
      </c>
      <c r="AD28" s="310">
        <f t="shared" si="10"/>
        <v>7</v>
      </c>
      <c r="AE28" s="311">
        <f t="shared" si="11"/>
        <v>50</v>
      </c>
      <c r="AF28" s="312" t="str">
        <f t="shared" si="12"/>
        <v>БАЗОВЫЙ</v>
      </c>
      <c r="AG28" s="273">
        <f t="shared" si="13"/>
        <v>15.625</v>
      </c>
      <c r="AH28" s="210">
        <f t="shared" si="14"/>
        <v>0.625</v>
      </c>
      <c r="AI28" s="374">
        <f t="shared" si="15"/>
        <v>15.625</v>
      </c>
      <c r="AJ28" s="375">
        <f t="shared" si="4"/>
        <v>74.621212121212125</v>
      </c>
      <c r="AK28" s="6"/>
      <c r="AL28" s="6"/>
      <c r="AM28" s="6"/>
      <c r="AN28" s="6"/>
      <c r="AO28" s="6"/>
      <c r="AP28" s="6"/>
    </row>
    <row r="29" spans="1:42" ht="12.75" customHeight="1" thickBot="1">
      <c r="A29" s="12">
        <f>IF('СПИСОК КЛАССА'!J29&gt;0,1,0)</f>
        <v>1</v>
      </c>
      <c r="B29" s="97">
        <v>10</v>
      </c>
      <c r="C29" s="98">
        <f>IF(NOT(ISBLANK('СПИСОК КЛАССА'!C29)),'СПИСОК КЛАССА'!C29,"")</f>
        <v>10</v>
      </c>
      <c r="D29" s="131" t="str">
        <f>IF(NOT(ISBLANK('СПИСОК КЛАССА'!D29)),IF($A29=1,'СПИСОК КЛАССА'!D29, "УЧЕНИК НЕ ВЫПОЛНЯЛ РАБОТУ"),"")</f>
        <v/>
      </c>
      <c r="E29" s="149">
        <f>IF($C29&lt;&gt;"",'СПИСОК КЛАССА'!J29,"")</f>
        <v>3</v>
      </c>
      <c r="F29" s="99">
        <f>IF(AND(OR($C29&lt;&gt;"",$D29&lt;&gt;""),$A29=1,$AA$6="ДА"),(IF(A29=1,IF(OR(AND(E29=1,'ОТВЕТЫ УЧАЩИХСЯ'!E29=1),AND(E29=2,'ОТВЕТЫ УЧАЩИХСЯ'!E29=2),AND(E29=3,'ОТВЕТЫ УЧАЩИХСЯ'!E29=4),AND(E29=4,'ОТВЕТЫ УЧАЩИХСЯ'!E29=2)),1,IF('ОТВЕТЫ УЧАЩИХСЯ'!E29="N",'ОТВЕТЫ УЧАЩИХСЯ'!E29,0)),"")),"")</f>
        <v>1</v>
      </c>
      <c r="G29" s="151">
        <f>IF(AND(OR($C29&lt;&gt;"",$D29&lt;&gt;""),$A29=1,$AA$6="ДА"),(IF(A29=1,IF(OR(AND(E29=1,'ОТВЕТЫ УЧАЩИХСЯ'!F29=4),AND(E29=2,'ОТВЕТЫ УЧАЩИХСЯ'!F29=1),AND(E29=3,'ОТВЕТЫ УЧАЩИХСЯ'!F29=2),AND(E29=4,'ОТВЕТЫ УЧАЩИХСЯ'!F29=3)),1,IF('ОТВЕТЫ УЧАЩИХСЯ'!F29="N",'ОТВЕТЫ УЧАЩИХСЯ'!F29,0)),"")),"")</f>
        <v>1</v>
      </c>
      <c r="H29" s="151">
        <f>IF(AND(OR($C29&lt;&gt;"",$D29&lt;&gt;""),$A29=1,$AA$6="ДА"),(IF(A29=1,IF(OR(AND(E29=1,'ОТВЕТЫ УЧАЩИХСЯ'!G29=4),AND(E29=2,'ОТВЕТЫ УЧАЩИХСЯ'!G29=3),AND(E29=3,'ОТВЕТЫ УЧАЩИХСЯ'!G29=4),AND(E29=4,'ОТВЕТЫ УЧАЩИХСЯ'!G29=4)),1,IF('ОТВЕТЫ УЧАЩИХСЯ'!G29="N",'ОТВЕТЫ УЧАЩИХСЯ'!G29,0)),"")),"")</f>
        <v>0</v>
      </c>
      <c r="I29" s="151">
        <f>IF(AND(OR($C29&lt;&gt;"",$D29&lt;&gt;""),$A29=1,$AA$6="ДА"),(IF(A29=1,IF(OR(AND(E29=1,'ОТВЕТЫ УЧАЩИХСЯ'!H29=2),AND(E29=2,'ОТВЕТЫ УЧАЩИХСЯ'!H29=1),AND(E29=3,'ОТВЕТЫ УЧАЩИХСЯ'!H29=3),AND(E29=4,'ОТВЕТЫ УЧАЩИХСЯ'!H29=4)),1,IF('ОТВЕТЫ УЧАЩИХСЯ'!H29="N",'ОТВЕТЫ УЧАЩИХСЯ'!H29,0)),"")),"")</f>
        <v>0</v>
      </c>
      <c r="J29" s="151">
        <f>IF(AND(OR($C29&lt;&gt;"",$D29&lt;&gt;""),$A29=1,$AA$6="ДА"),(IF(A29=1,IF(OR(AND(E29=1,'ОТВЕТЫ УЧАЩИХСЯ'!I29=3),AND(E29=2,'ОТВЕТЫ УЧАЩИХСЯ'!I29=4),AND(E29=3,'ОТВЕТЫ УЧАЩИХСЯ'!I29=3),AND(E29=4,'ОТВЕТЫ УЧАЩИХСЯ'!I29=1)),1,IF('ОТВЕТЫ УЧАЩИХСЯ'!I29="N",'ОТВЕТЫ УЧАЩИХСЯ'!I29,0)),"")),"")</f>
        <v>1</v>
      </c>
      <c r="K29" s="151">
        <f>IF(AND(OR($C29&lt;&gt;"",$D29&lt;&gt;""),$A29=1,$AA$6="ДА"),(IF(A29=1,IF(OR(AND(E29=1,'ОТВЕТЫ УЧАЩИХСЯ'!J29=3),AND(E29=2,'ОТВЕТЫ УЧАЩИХСЯ'!J29=3),AND(E29=3,'ОТВЕТЫ УЧАЩИХСЯ'!J29=2),AND(E29=4,'ОТВЕТЫ УЧАЩИХСЯ'!J29=4)),1,IF('ОТВЕТЫ УЧАЩИХСЯ'!J29="N",'ОТВЕТЫ УЧАЩИХСЯ'!J29,0)),"")),"")</f>
        <v>1</v>
      </c>
      <c r="L29" s="151">
        <f>IF(AND(OR($C29&lt;&gt;"",$D29&lt;&gt;""),$A29=1,$AA$6="ДА"),(IF(A29=1,IF(OR(AND(E29=1,'ОТВЕТЫ УЧАЩИХСЯ'!K29=2),AND(E29=2,'ОТВЕТЫ УЧАЩИХСЯ'!K29=4),AND(E29=3,'ОТВЕТЫ УЧАЩИХСЯ'!K29=1),AND(E29=4,'ОТВЕТЫ УЧАЩИХСЯ'!K29=3)),2,IF('ОТВЕТЫ УЧАЩИХСЯ'!K29="N",'ОТВЕТЫ УЧАЩИХСЯ'!K29,0)),"")),"")</f>
        <v>0</v>
      </c>
      <c r="M29" s="151">
        <f>IF(AND(OR($C29&lt;&gt;"",$D29&lt;&gt;""),$A29=1,$AA$6="ДА"),(IF(A29=1,IF(OR(AND(E29=1,'ОТВЕТЫ УЧАЩИХСЯ'!L29=4),AND(E29=2,'ОТВЕТЫ УЧАЩИХСЯ'!L29=1),AND(E29=3,'ОТВЕТЫ УЧАЩИХСЯ'!L29=4),AND(E29=4,'ОТВЕТЫ УЧАЩИХСЯ'!L29=2)),2,IF('ОТВЕТЫ УЧАЩИХСЯ'!L29="N",'ОТВЕТЫ УЧАЩИХСЯ'!L29,0)),"")),"")</f>
        <v>2</v>
      </c>
      <c r="N29" s="151">
        <f>IF(AND(OR($C29&lt;&gt;"",$D29&lt;&gt;""),$A29=1,$AA$6="ДА"),(IF(A29=1,IF(OR(AND(E29=1,'ОТВЕТЫ УЧАЩИХСЯ'!M29=1),AND(E29=2,'ОТВЕТЫ УЧАЩИХСЯ'!M29=3),AND(E29=3,'ОТВЕТЫ УЧАЩИХСЯ'!M29=3),AND(E29=4,'ОТВЕТЫ УЧАЩИХСЯ'!M29=1)),2,IF('ОТВЕТЫ УЧАЩИХСЯ'!M29="N",'ОТВЕТЫ УЧАЩИХСЯ'!M29,0)),"")),"")</f>
        <v>2</v>
      </c>
      <c r="O29" s="151">
        <f>IF(AND(OR($C29&lt;&gt;"",$D29&lt;&gt;""),$A29=1,$AA$6="ДА"),(IF(A29=1,IF(OR(AND(E29=1,'ОТВЕТЫ УЧАЩИХСЯ'!N29=2),AND(E29=2,'ОТВЕТЫ УЧАЩИХСЯ'!N29=1),AND(E29=3,'ОТВЕТЫ УЧАЩИХСЯ'!N29=3),AND(E29=4,'ОТВЕТЫ УЧАЩИХСЯ'!N29=3)),1,IF('ОТВЕТЫ УЧАЩИХСЯ'!N29="N",'ОТВЕТЫ УЧАЩИХСЯ'!N29,0)),"")),"")</f>
        <v>0</v>
      </c>
      <c r="P29" s="151">
        <f>IF(AND(OR($C29&lt;&gt;"",$D29&lt;&gt;""),$A29=1,$AA$6="ДА"),(IF(A29=1,IF(OR(AND(E29=1,'ОТВЕТЫ УЧАЩИХСЯ'!O29=3),AND(E29=2,'ОТВЕТЫ УЧАЩИХСЯ'!O29=4),AND(E29=3,'ОТВЕТЫ УЧАЩИХСЯ'!O29=2),AND(E29=4,'ОТВЕТЫ УЧАЩИХСЯ'!O29=2)),1,IF('ОТВЕТЫ УЧАЩИХСЯ'!O29="N",'ОТВЕТЫ УЧАЩИХСЯ'!O29,0)),"")),"")</f>
        <v>0</v>
      </c>
      <c r="Q29" s="151">
        <f>IF(AND(OR($C29&lt;&gt;"",$D29&lt;&gt;""),$A29=1,$AA$6="ДА"),(IF(A29=1,IF(OR(AND(E29=1,'ОТВЕТЫ УЧАЩИХСЯ'!P29=4),AND(E29=2,'ОТВЕТЫ УЧАЩИХСЯ'!P29=2),AND(E29=3,'ОТВЕТЫ УЧАЩИХСЯ'!P29=3),AND(E29=4,'ОТВЕТЫ УЧАЩИХСЯ'!P29=2)),2,IF('ОТВЕТЫ УЧАЩИХСЯ'!P29="N",'ОТВЕТЫ УЧАЩИХСЯ'!P29,0)),"")),"")</f>
        <v>0</v>
      </c>
      <c r="R29" s="151">
        <f>IF(AND(OR($C29&lt;&gt;"",$D29&lt;&gt;""),$A29=1,$AA$6="ДА"),(IF(A29=1,IF(OR(AND(E29=1,'ОТВЕТЫ УЧАЩИХСЯ'!Q29=4),AND(E29=2,'ОТВЕТЫ УЧАЩИХСЯ'!Q29=1),AND(E29=3,'ОТВЕТЫ УЧАЩИХСЯ'!Q29=3),AND(E29=4,'ОТВЕТЫ УЧАЩИХСЯ'!Q29=4)),1,IF('ОТВЕТЫ УЧАЩИХСЯ'!Q29="N",'ОТВЕТЫ УЧАЩИХСЯ'!Q29,0)),"")),"")</f>
        <v>1</v>
      </c>
      <c r="S29" s="151">
        <f>IF(AND(OR($C29&lt;&gt;"",$D29&lt;&gt;""),$A29=1,$AA$6="ДА"),(IF(A29=1,IF(OR(AND(E29=1,'ОТВЕТЫ УЧАЩИХСЯ'!R29=3),AND(E29=2,'ОТВЕТЫ УЧАЩИХСЯ'!R29=4),AND(E29=3,'ОТВЕТЫ УЧАЩИХСЯ'!R29=2),AND(E29=4,'ОТВЕТЫ УЧАЩИХСЯ'!R29=1)),1,IF('ОТВЕТЫ УЧАЩИХСЯ'!R29="N",'ОТВЕТЫ УЧАЩИХСЯ'!R29,0)),"")),"")</f>
        <v>1</v>
      </c>
      <c r="T29" s="151">
        <f>IF(AND(OR($C29&lt;&gt;"",$D29&lt;&gt;""),$A29=1,$AA$6="ДА"),(IF(A29=1,IF(OR(AND(E29=1,'ОТВЕТЫ УЧАЩИХСЯ'!S29=1),AND(E29=2,'ОТВЕТЫ УЧАЩИХСЯ'!S29=2),AND(E29=3,'ОТВЕТЫ УЧАЩИХСЯ'!S29=2),AND(E29=4,'ОТВЕТЫ УЧАЩИХСЯ'!S29=3)),1,IF('ОТВЕТЫ УЧАЩИХСЯ'!S29="N",'ОТВЕТЫ УЧАЩИХСЯ'!S29,0)),"")),"")</f>
        <v>0</v>
      </c>
      <c r="U29" s="99">
        <f t="shared" si="5"/>
        <v>1</v>
      </c>
      <c r="V29" s="99">
        <f>IF(AND(OR($C29&lt;&gt;"",$D29&lt;&gt;""),$A29=1,$AA$6="ДА"),(IF(A29=1,IF(OR(AND(E29=1,'ОТВЕТЫ УЧАЩИХСЯ'!T29=274),AND(E29=2,'ОТВЕТЫ УЧАЩИХСЯ'!T29=3),AND(E29=3,'ОТВЕТЫ УЧАЩИХСЯ'!T29=778),AND(E29=4,'ОТВЕТЫ УЧАЩИХСЯ'!T29=40)),1,IF('ОТВЕТЫ УЧАЩИХСЯ'!T29="N",'ОТВЕТЫ УЧАЩИХСЯ'!T29,0)),"")),"")</f>
        <v>1</v>
      </c>
      <c r="W29" s="99">
        <f>IF(AND(OR($C29&lt;&gt;"",$D29&lt;&gt;""),$A29=1,$AA$6="ДА"),(IF(A29=1,IF(OR(AND(E29=1,'ОТВЕТЫ УЧАЩИХСЯ'!U29=49),AND(E29=2,'ОТВЕТЫ УЧАЩИХСЯ'!U29=2),AND(E29=3,'ОТВЕТЫ УЧАЩИХСЯ'!U29="САТУРН,ЮПИТЕР"),AND(E29=4,'ОТВЕТЫ УЧАЩИХСЯ'!U29=8)),1,IF('ОТВЕТЫ УЧАЩИХСЯ'!U29="N",'ОТВЕТЫ УЧАЩИХСЯ'!U29,0)),"")),"")</f>
        <v>0</v>
      </c>
      <c r="X29" s="99">
        <f>IF(AND(OR($C29&lt;&gt;"",$D29&lt;&gt;""),$A29=1,$AA$6="ДА"),(IF(A29=1,IF(OR(AND(E29=1,'ОТВЕТЫ УЧАЩИХСЯ'!V29=20),AND(E29=2,'ОТВЕТЫ УЧАЩИХСЯ'!V29=20),AND(E29=3,'ОТВЕТЫ УЧАЩИХСЯ'!V29=22),AND(E29=4,'ОТВЕТЫ УЧАЩИХСЯ'!V29=85)),2,IF('ОТВЕТЫ УЧАЩИХСЯ'!V29="N",'ОТВЕТЫ УЧАЩИХСЯ'!V29,0)),"")),"")</f>
        <v>0</v>
      </c>
      <c r="Y29" s="99" t="str">
        <f>IF(AND(OR($C29&lt;&gt;"",$D29&lt;&gt;""),$A29=1,$AA$6="ДА"),IF((ISBLANK($D29)),"",IF($A$20=1,'ОТВЕТЫ УЧАЩИХСЯ'!W29,"")),"")</f>
        <v/>
      </c>
      <c r="Z29" s="332">
        <f t="shared" si="6"/>
        <v>11</v>
      </c>
      <c r="AA29" s="309">
        <f t="shared" si="7"/>
        <v>0.44</v>
      </c>
      <c r="AB29" s="310">
        <f t="shared" si="8"/>
        <v>6</v>
      </c>
      <c r="AC29" s="311">
        <f t="shared" si="9"/>
        <v>54.54545454545454</v>
      </c>
      <c r="AD29" s="310">
        <f t="shared" si="10"/>
        <v>5</v>
      </c>
      <c r="AE29" s="311">
        <f t="shared" si="11"/>
        <v>35.714285714285715</v>
      </c>
      <c r="AF29" s="312" t="str">
        <f t="shared" si="12"/>
        <v>БАЗОВЫЙ</v>
      </c>
      <c r="AG29" s="273">
        <f t="shared" si="13"/>
        <v>15.625</v>
      </c>
      <c r="AH29" s="210">
        <f t="shared" si="14"/>
        <v>0.625</v>
      </c>
      <c r="AI29" s="374">
        <f t="shared" si="15"/>
        <v>15.625</v>
      </c>
      <c r="AJ29" s="375">
        <f t="shared" si="4"/>
        <v>74.621212121212125</v>
      </c>
      <c r="AK29" s="6"/>
      <c r="AL29" s="6"/>
      <c r="AM29" s="6"/>
      <c r="AN29" s="6"/>
      <c r="AO29" s="6"/>
      <c r="AP29" s="6"/>
    </row>
    <row r="30" spans="1:42" ht="12.75" customHeight="1" thickBot="1">
      <c r="A30" s="12">
        <f>IF('СПИСОК КЛАССА'!J30&gt;0,1,0)</f>
        <v>1</v>
      </c>
      <c r="B30" s="97">
        <v>11</v>
      </c>
      <c r="C30" s="98">
        <f>IF(NOT(ISBLANK('СПИСОК КЛАССА'!C30)),'СПИСОК КЛАССА'!C30,"")</f>
        <v>11</v>
      </c>
      <c r="D30" s="131" t="str">
        <f>IF(NOT(ISBLANK('СПИСОК КЛАССА'!D30)),IF($A30=1,'СПИСОК КЛАССА'!D30, "УЧЕНИК НЕ ВЫПОЛНЯЛ РАБОТУ"),"")</f>
        <v/>
      </c>
      <c r="E30" s="149">
        <f>IF($C30&lt;&gt;"",'СПИСОК КЛАССА'!J30,"")</f>
        <v>3</v>
      </c>
      <c r="F30" s="99">
        <f>IF(AND(OR($C30&lt;&gt;"",$D30&lt;&gt;""),$A30=1,$AA$6="ДА"),(IF(A30=1,IF(OR(AND(E30=1,'ОТВЕТЫ УЧАЩИХСЯ'!E30=1),AND(E30=2,'ОТВЕТЫ УЧАЩИХСЯ'!E30=2),AND(E30=3,'ОТВЕТЫ УЧАЩИХСЯ'!E30=4),AND(E30=4,'ОТВЕТЫ УЧАЩИХСЯ'!E30=2)),1,IF('ОТВЕТЫ УЧАЩИХСЯ'!E30="N",'ОТВЕТЫ УЧАЩИХСЯ'!E30,0)),"")),"")</f>
        <v>0</v>
      </c>
      <c r="G30" s="151">
        <f>IF(AND(OR($C30&lt;&gt;"",$D30&lt;&gt;""),$A30=1,$AA$6="ДА"),(IF(A30=1,IF(OR(AND(E30=1,'ОТВЕТЫ УЧАЩИХСЯ'!F30=4),AND(E30=2,'ОТВЕТЫ УЧАЩИХСЯ'!F30=1),AND(E30=3,'ОТВЕТЫ УЧАЩИХСЯ'!F30=2),AND(E30=4,'ОТВЕТЫ УЧАЩИХСЯ'!F30=3)),1,IF('ОТВЕТЫ УЧАЩИХСЯ'!F30="N",'ОТВЕТЫ УЧАЩИХСЯ'!F30,0)),"")),"")</f>
        <v>0</v>
      </c>
      <c r="H30" s="151">
        <f>IF(AND(OR($C30&lt;&gt;"",$D30&lt;&gt;""),$A30=1,$AA$6="ДА"),(IF(A30=1,IF(OR(AND(E30=1,'ОТВЕТЫ УЧАЩИХСЯ'!G30=4),AND(E30=2,'ОТВЕТЫ УЧАЩИХСЯ'!G30=3),AND(E30=3,'ОТВЕТЫ УЧАЩИХСЯ'!G30=4),AND(E30=4,'ОТВЕТЫ УЧАЩИХСЯ'!G30=4)),1,IF('ОТВЕТЫ УЧАЩИХСЯ'!G30="N",'ОТВЕТЫ УЧАЩИХСЯ'!G30,0)),"")),"")</f>
        <v>0</v>
      </c>
      <c r="I30" s="151">
        <f>IF(AND(OR($C30&lt;&gt;"",$D30&lt;&gt;""),$A30=1,$AA$6="ДА"),(IF(A30=1,IF(OR(AND(E30=1,'ОТВЕТЫ УЧАЩИХСЯ'!H30=2),AND(E30=2,'ОТВЕТЫ УЧАЩИХСЯ'!H30=1),AND(E30=3,'ОТВЕТЫ УЧАЩИХСЯ'!H30=3),AND(E30=4,'ОТВЕТЫ УЧАЩИХСЯ'!H30=4)),1,IF('ОТВЕТЫ УЧАЩИХСЯ'!H30="N",'ОТВЕТЫ УЧАЩИХСЯ'!H30,0)),"")),"")</f>
        <v>0</v>
      </c>
      <c r="J30" s="151">
        <f>IF(AND(OR($C30&lt;&gt;"",$D30&lt;&gt;""),$A30=1,$AA$6="ДА"),(IF(A30=1,IF(OR(AND(E30=1,'ОТВЕТЫ УЧАЩИХСЯ'!I30=3),AND(E30=2,'ОТВЕТЫ УЧАЩИХСЯ'!I30=4),AND(E30=3,'ОТВЕТЫ УЧАЩИХСЯ'!I30=3),AND(E30=4,'ОТВЕТЫ УЧАЩИХСЯ'!I30=1)),1,IF('ОТВЕТЫ УЧАЩИХСЯ'!I30="N",'ОТВЕТЫ УЧАЩИХСЯ'!I30,0)),"")),"")</f>
        <v>1</v>
      </c>
      <c r="K30" s="151">
        <f>IF(AND(OR($C30&lt;&gt;"",$D30&lt;&gt;""),$A30=1,$AA$6="ДА"),(IF(A30=1,IF(OR(AND(E30=1,'ОТВЕТЫ УЧАЩИХСЯ'!J30=3),AND(E30=2,'ОТВЕТЫ УЧАЩИХСЯ'!J30=3),AND(E30=3,'ОТВЕТЫ УЧАЩИХСЯ'!J30=2),AND(E30=4,'ОТВЕТЫ УЧАЩИХСЯ'!J30=4)),1,IF('ОТВЕТЫ УЧАЩИХСЯ'!J30="N",'ОТВЕТЫ УЧАЩИХСЯ'!J30,0)),"")),"")</f>
        <v>1</v>
      </c>
      <c r="L30" s="151">
        <f>IF(AND(OR($C30&lt;&gt;"",$D30&lt;&gt;""),$A30=1,$AA$6="ДА"),(IF(A30=1,IF(OR(AND(E30=1,'ОТВЕТЫ УЧАЩИХСЯ'!K30=2),AND(E30=2,'ОТВЕТЫ УЧАЩИХСЯ'!K30=4),AND(E30=3,'ОТВЕТЫ УЧАЩИХСЯ'!K30=1),AND(E30=4,'ОТВЕТЫ УЧАЩИХСЯ'!K30=3)),2,IF('ОТВЕТЫ УЧАЩИХСЯ'!K30="N",'ОТВЕТЫ УЧАЩИХСЯ'!K30,0)),"")),"")</f>
        <v>0</v>
      </c>
      <c r="M30" s="151">
        <f>IF(AND(OR($C30&lt;&gt;"",$D30&lt;&gt;""),$A30=1,$AA$6="ДА"),(IF(A30=1,IF(OR(AND(E30=1,'ОТВЕТЫ УЧАЩИХСЯ'!L30=4),AND(E30=2,'ОТВЕТЫ УЧАЩИХСЯ'!L30=1),AND(E30=3,'ОТВЕТЫ УЧАЩИХСЯ'!L30=4),AND(E30=4,'ОТВЕТЫ УЧАЩИХСЯ'!L30=2)),2,IF('ОТВЕТЫ УЧАЩИХСЯ'!L30="N",'ОТВЕТЫ УЧАЩИХСЯ'!L30,0)),"")),"")</f>
        <v>2</v>
      </c>
      <c r="N30" s="151">
        <f>IF(AND(OR($C30&lt;&gt;"",$D30&lt;&gt;""),$A30=1,$AA$6="ДА"),(IF(A30=1,IF(OR(AND(E30=1,'ОТВЕТЫ УЧАЩИХСЯ'!M30=1),AND(E30=2,'ОТВЕТЫ УЧАЩИХСЯ'!M30=3),AND(E30=3,'ОТВЕТЫ УЧАЩИХСЯ'!M30=3),AND(E30=4,'ОТВЕТЫ УЧАЩИХСЯ'!M30=1)),2,IF('ОТВЕТЫ УЧАЩИХСЯ'!M30="N",'ОТВЕТЫ УЧАЩИХСЯ'!M30,0)),"")),"")</f>
        <v>0</v>
      </c>
      <c r="O30" s="151">
        <f>IF(AND(OR($C30&lt;&gt;"",$D30&lt;&gt;""),$A30=1,$AA$6="ДА"),(IF(A30=1,IF(OR(AND(E30=1,'ОТВЕТЫ УЧАЩИХСЯ'!N30=2),AND(E30=2,'ОТВЕТЫ УЧАЩИХСЯ'!N30=1),AND(E30=3,'ОТВЕТЫ УЧАЩИХСЯ'!N30=3),AND(E30=4,'ОТВЕТЫ УЧАЩИХСЯ'!N30=3)),1,IF('ОТВЕТЫ УЧАЩИХСЯ'!N30="N",'ОТВЕТЫ УЧАЩИХСЯ'!N30,0)),"")),"")</f>
        <v>1</v>
      </c>
      <c r="P30" s="151">
        <f>IF(AND(OR($C30&lt;&gt;"",$D30&lt;&gt;""),$A30=1,$AA$6="ДА"),(IF(A30=1,IF(OR(AND(E30=1,'ОТВЕТЫ УЧАЩИХСЯ'!O30=3),AND(E30=2,'ОТВЕТЫ УЧАЩИХСЯ'!O30=4),AND(E30=3,'ОТВЕТЫ УЧАЩИХСЯ'!O30=2),AND(E30=4,'ОТВЕТЫ УЧАЩИХСЯ'!O30=2)),1,IF('ОТВЕТЫ УЧАЩИХСЯ'!O30="N",'ОТВЕТЫ УЧАЩИХСЯ'!O30,0)),"")),"")</f>
        <v>0</v>
      </c>
      <c r="Q30" s="151">
        <f>IF(AND(OR($C30&lt;&gt;"",$D30&lt;&gt;""),$A30=1,$AA$6="ДА"),(IF(A30=1,IF(OR(AND(E30=1,'ОТВЕТЫ УЧАЩИХСЯ'!P30=4),AND(E30=2,'ОТВЕТЫ УЧАЩИХСЯ'!P30=2),AND(E30=3,'ОТВЕТЫ УЧАЩИХСЯ'!P30=3),AND(E30=4,'ОТВЕТЫ УЧАЩИХСЯ'!P30=2)),2,IF('ОТВЕТЫ УЧАЩИХСЯ'!P30="N",'ОТВЕТЫ УЧАЩИХСЯ'!P30,0)),"")),"")</f>
        <v>2</v>
      </c>
      <c r="R30" s="151">
        <f>IF(AND(OR($C30&lt;&gt;"",$D30&lt;&gt;""),$A30=1,$AA$6="ДА"),(IF(A30=1,IF(OR(AND(E30=1,'ОТВЕТЫ УЧАЩИХСЯ'!Q30=4),AND(E30=2,'ОТВЕТЫ УЧАЩИХСЯ'!Q30=1),AND(E30=3,'ОТВЕТЫ УЧАЩИХСЯ'!Q30=3),AND(E30=4,'ОТВЕТЫ УЧАЩИХСЯ'!Q30=4)),1,IF('ОТВЕТЫ УЧАЩИХСЯ'!Q30="N",'ОТВЕТЫ УЧАЩИХСЯ'!Q30,0)),"")),"")</f>
        <v>0</v>
      </c>
      <c r="S30" s="151">
        <f>IF(AND(OR($C30&lt;&gt;"",$D30&lt;&gt;""),$A30=1,$AA$6="ДА"),(IF(A30=1,IF(OR(AND(E30=1,'ОТВЕТЫ УЧАЩИХСЯ'!R30=3),AND(E30=2,'ОТВЕТЫ УЧАЩИХСЯ'!R30=4),AND(E30=3,'ОТВЕТЫ УЧАЩИХСЯ'!R30=2),AND(E30=4,'ОТВЕТЫ УЧАЩИХСЯ'!R30=1)),1,IF('ОТВЕТЫ УЧАЩИХСЯ'!R30="N",'ОТВЕТЫ УЧАЩИХСЯ'!R30,0)),"")),"")</f>
        <v>1</v>
      </c>
      <c r="T30" s="151">
        <f>IF(AND(OR($C30&lt;&gt;"",$D30&lt;&gt;""),$A30=1,$AA$6="ДА"),(IF(A30=1,IF(OR(AND(E30=1,'ОТВЕТЫ УЧАЩИХСЯ'!S30=1),AND(E30=2,'ОТВЕТЫ УЧАЩИХСЯ'!S30=2),AND(E30=3,'ОТВЕТЫ УЧАЩИХСЯ'!S30=2),AND(E30=4,'ОТВЕТЫ УЧАЩИХСЯ'!S30=3)),1,IF('ОТВЕТЫ УЧАЩИХСЯ'!S30="N",'ОТВЕТЫ УЧАЩИХСЯ'!S30,0)),"")),"")</f>
        <v>1</v>
      </c>
      <c r="U30" s="99">
        <f t="shared" si="5"/>
        <v>2</v>
      </c>
      <c r="V30" s="99">
        <f>IF(AND(OR($C30&lt;&gt;"",$D30&lt;&gt;""),$A30=1,$AA$6="ДА"),(IF(A30=1,IF(OR(AND(E30=1,'ОТВЕТЫ УЧАЩИХСЯ'!T30=274),AND(E30=2,'ОТВЕТЫ УЧАЩИХСЯ'!T30=3),AND(E30=3,'ОТВЕТЫ УЧАЩИХСЯ'!T30=778),AND(E30=4,'ОТВЕТЫ УЧАЩИХСЯ'!T30=40)),1,IF('ОТВЕТЫ УЧАЩИХСЯ'!T30="N",'ОТВЕТЫ УЧАЩИХСЯ'!T30,0)),"")),"")</f>
        <v>1</v>
      </c>
      <c r="W30" s="99">
        <f>IF(AND(OR($C30&lt;&gt;"",$D30&lt;&gt;""),$A30=1,$AA$6="ДА"),(IF(A30=1,IF(OR(AND(E30=1,'ОТВЕТЫ УЧАЩИХСЯ'!U30=49),AND(E30=2,'ОТВЕТЫ УЧАЩИХСЯ'!U30=2),AND(E30=3,'ОТВЕТЫ УЧАЩИХСЯ'!U30="САТУРН,ЮПИТЕР"),AND(E30=4,'ОТВЕТЫ УЧАЩИХСЯ'!U30=8)),1,IF('ОТВЕТЫ УЧАЩИХСЯ'!U30="N",'ОТВЕТЫ УЧАЩИХСЯ'!U30,0)),"")),"")</f>
        <v>1</v>
      </c>
      <c r="X30" s="99">
        <f>IF(AND(OR($C30&lt;&gt;"",$D30&lt;&gt;""),$A30=1,$AA$6="ДА"),(IF(A30=1,IF(OR(AND(E30=1,'ОТВЕТЫ УЧАЩИХСЯ'!V30=20),AND(E30=2,'ОТВЕТЫ УЧАЩИХСЯ'!V30=20),AND(E30=3,'ОТВЕТЫ УЧАЩИХСЯ'!V30=22),AND(E30=4,'ОТВЕТЫ УЧАЩИХСЯ'!V30=85)),2,IF('ОТВЕТЫ УЧАЩИХСЯ'!V30="N",'ОТВЕТЫ УЧАЩИХСЯ'!V30,0)),"")),"")</f>
        <v>2</v>
      </c>
      <c r="Y30" s="99" t="str">
        <f>IF(AND(OR($C30&lt;&gt;"",$D30&lt;&gt;""),$A30=1,$AA$6="ДА"),IF((ISBLANK($D30)),"",IF($A$20=1,'ОТВЕТЫ УЧАЩИХСЯ'!W30,"")),"")</f>
        <v/>
      </c>
      <c r="Z30" s="332">
        <f t="shared" si="6"/>
        <v>13</v>
      </c>
      <c r="AA30" s="309">
        <f t="shared" si="7"/>
        <v>0.52</v>
      </c>
      <c r="AB30" s="310">
        <f t="shared" si="8"/>
        <v>5</v>
      </c>
      <c r="AC30" s="311">
        <f t="shared" si="9"/>
        <v>45.454545454545453</v>
      </c>
      <c r="AD30" s="310">
        <f t="shared" si="10"/>
        <v>8</v>
      </c>
      <c r="AE30" s="311">
        <f t="shared" si="11"/>
        <v>57.142857142857139</v>
      </c>
      <c r="AF30" s="312" t="str">
        <f t="shared" si="12"/>
        <v>БАЗОВЫЙ</v>
      </c>
      <c r="AG30" s="273">
        <f t="shared" si="13"/>
        <v>15.625</v>
      </c>
      <c r="AH30" s="210">
        <f t="shared" si="14"/>
        <v>0.625</v>
      </c>
      <c r="AI30" s="374">
        <f t="shared" si="15"/>
        <v>15.625</v>
      </c>
      <c r="AJ30" s="375">
        <f t="shared" si="4"/>
        <v>74.621212121212125</v>
      </c>
      <c r="AK30" s="6"/>
      <c r="AL30" s="6"/>
      <c r="AM30" s="6"/>
      <c r="AN30" s="6"/>
      <c r="AO30" s="6"/>
      <c r="AP30" s="6"/>
    </row>
    <row r="31" spans="1:42" ht="12.75" customHeight="1" thickBot="1">
      <c r="A31" s="12">
        <f>IF('СПИСОК КЛАССА'!J31&gt;0,1,0)</f>
        <v>1</v>
      </c>
      <c r="B31" s="97">
        <v>12</v>
      </c>
      <c r="C31" s="98">
        <f>IF(NOT(ISBLANK('СПИСОК КЛАССА'!C31)),'СПИСОК КЛАССА'!C31,"")</f>
        <v>12</v>
      </c>
      <c r="D31" s="131" t="str">
        <f>IF(NOT(ISBLANK('СПИСОК КЛАССА'!D31)),IF($A31=1,'СПИСОК КЛАССА'!D31, "УЧЕНИК НЕ ВЫПОЛНЯЛ РАБОТУ"),"")</f>
        <v/>
      </c>
      <c r="E31" s="149">
        <f>IF($C31&lt;&gt;"",'СПИСОК КЛАССА'!J31,"")</f>
        <v>1</v>
      </c>
      <c r="F31" s="99">
        <f>IF(AND(OR($C31&lt;&gt;"",$D31&lt;&gt;""),$A31=1,$AA$6="ДА"),(IF(A31=1,IF(OR(AND(E31=1,'ОТВЕТЫ УЧАЩИХСЯ'!E31=1),AND(E31=2,'ОТВЕТЫ УЧАЩИХСЯ'!E31=2),AND(E31=3,'ОТВЕТЫ УЧАЩИХСЯ'!E31=4),AND(E31=4,'ОТВЕТЫ УЧАЩИХСЯ'!E31=2)),1,IF('ОТВЕТЫ УЧАЩИХСЯ'!E31="N",'ОТВЕТЫ УЧАЩИХСЯ'!E31,0)),"")),"")</f>
        <v>1</v>
      </c>
      <c r="G31" s="151">
        <f>IF(AND(OR($C31&lt;&gt;"",$D31&lt;&gt;""),$A31=1,$AA$6="ДА"),(IF(A31=1,IF(OR(AND(E31=1,'ОТВЕТЫ УЧАЩИХСЯ'!F31=4),AND(E31=2,'ОТВЕТЫ УЧАЩИХСЯ'!F31=1),AND(E31=3,'ОТВЕТЫ УЧАЩИХСЯ'!F31=2),AND(E31=4,'ОТВЕТЫ УЧАЩИХСЯ'!F31=3)),1,IF('ОТВЕТЫ УЧАЩИХСЯ'!F31="N",'ОТВЕТЫ УЧАЩИХСЯ'!F31,0)),"")),"")</f>
        <v>1</v>
      </c>
      <c r="H31" s="151">
        <f>IF(AND(OR($C31&lt;&gt;"",$D31&lt;&gt;""),$A31=1,$AA$6="ДА"),(IF(A31=1,IF(OR(AND(E31=1,'ОТВЕТЫ УЧАЩИХСЯ'!G31=4),AND(E31=2,'ОТВЕТЫ УЧАЩИХСЯ'!G31=3),AND(E31=3,'ОТВЕТЫ УЧАЩИХСЯ'!G31=4),AND(E31=4,'ОТВЕТЫ УЧАЩИХСЯ'!G31=4)),1,IF('ОТВЕТЫ УЧАЩИХСЯ'!G31="N",'ОТВЕТЫ УЧАЩИХСЯ'!G31,0)),"")),"")</f>
        <v>1</v>
      </c>
      <c r="I31" s="151">
        <f>IF(AND(OR($C31&lt;&gt;"",$D31&lt;&gt;""),$A31=1,$AA$6="ДА"),(IF(A31=1,IF(OR(AND(E31=1,'ОТВЕТЫ УЧАЩИХСЯ'!H31=2),AND(E31=2,'ОТВЕТЫ УЧАЩИХСЯ'!H31=1),AND(E31=3,'ОТВЕТЫ УЧАЩИХСЯ'!H31=3),AND(E31=4,'ОТВЕТЫ УЧАЩИХСЯ'!H31=4)),1,IF('ОТВЕТЫ УЧАЩИХСЯ'!H31="N",'ОТВЕТЫ УЧАЩИХСЯ'!H31,0)),"")),"")</f>
        <v>1</v>
      </c>
      <c r="J31" s="151">
        <f>IF(AND(OR($C31&lt;&gt;"",$D31&lt;&gt;""),$A31=1,$AA$6="ДА"),(IF(A31=1,IF(OR(AND(E31=1,'ОТВЕТЫ УЧАЩИХСЯ'!I31=3),AND(E31=2,'ОТВЕТЫ УЧАЩИХСЯ'!I31=4),AND(E31=3,'ОТВЕТЫ УЧАЩИХСЯ'!I31=3),AND(E31=4,'ОТВЕТЫ УЧАЩИХСЯ'!I31=1)),1,IF('ОТВЕТЫ УЧАЩИХСЯ'!I31="N",'ОТВЕТЫ УЧАЩИХСЯ'!I31,0)),"")),"")</f>
        <v>0</v>
      </c>
      <c r="K31" s="151">
        <f>IF(AND(OR($C31&lt;&gt;"",$D31&lt;&gt;""),$A31=1,$AA$6="ДА"),(IF(A31=1,IF(OR(AND(E31=1,'ОТВЕТЫ УЧАЩИХСЯ'!J31=3),AND(E31=2,'ОТВЕТЫ УЧАЩИХСЯ'!J31=3),AND(E31=3,'ОТВЕТЫ УЧАЩИХСЯ'!J31=2),AND(E31=4,'ОТВЕТЫ УЧАЩИХСЯ'!J31=4)),1,IF('ОТВЕТЫ УЧАЩИХСЯ'!J31="N",'ОТВЕТЫ УЧАЩИХСЯ'!J31,0)),"")),"")</f>
        <v>1</v>
      </c>
      <c r="L31" s="151">
        <f>IF(AND(OR($C31&lt;&gt;"",$D31&lt;&gt;""),$A31=1,$AA$6="ДА"),(IF(A31=1,IF(OR(AND(E31=1,'ОТВЕТЫ УЧАЩИХСЯ'!K31=2),AND(E31=2,'ОТВЕТЫ УЧАЩИХСЯ'!K31=4),AND(E31=3,'ОТВЕТЫ УЧАЩИХСЯ'!K31=1),AND(E31=4,'ОТВЕТЫ УЧАЩИХСЯ'!K31=3)),2,IF('ОТВЕТЫ УЧАЩИХСЯ'!K31="N",'ОТВЕТЫ УЧАЩИХСЯ'!K31,0)),"")),"")</f>
        <v>0</v>
      </c>
      <c r="M31" s="151">
        <f>IF(AND(OR($C31&lt;&gt;"",$D31&lt;&gt;""),$A31=1,$AA$6="ДА"),(IF(A31=1,IF(OR(AND(E31=1,'ОТВЕТЫ УЧАЩИХСЯ'!L31=4),AND(E31=2,'ОТВЕТЫ УЧАЩИХСЯ'!L31=1),AND(E31=3,'ОТВЕТЫ УЧАЩИХСЯ'!L31=4),AND(E31=4,'ОТВЕТЫ УЧАЩИХСЯ'!L31=2)),2,IF('ОТВЕТЫ УЧАЩИХСЯ'!L31="N",'ОТВЕТЫ УЧАЩИХСЯ'!L31,0)),"")),"")</f>
        <v>2</v>
      </c>
      <c r="N31" s="151">
        <f>IF(AND(OR($C31&lt;&gt;"",$D31&lt;&gt;""),$A31=1,$AA$6="ДА"),(IF(A31=1,IF(OR(AND(E31=1,'ОТВЕТЫ УЧАЩИХСЯ'!M31=1),AND(E31=2,'ОТВЕТЫ УЧАЩИХСЯ'!M31=3),AND(E31=3,'ОТВЕТЫ УЧАЩИХСЯ'!M31=3),AND(E31=4,'ОТВЕТЫ УЧАЩИХСЯ'!M31=1)),2,IF('ОТВЕТЫ УЧАЩИХСЯ'!M31="N",'ОТВЕТЫ УЧАЩИХСЯ'!M31,0)),"")),"")</f>
        <v>2</v>
      </c>
      <c r="O31" s="151">
        <f>IF(AND(OR($C31&lt;&gt;"",$D31&lt;&gt;""),$A31=1,$AA$6="ДА"),(IF(A31=1,IF(OR(AND(E31=1,'ОТВЕТЫ УЧАЩИХСЯ'!N31=2),AND(E31=2,'ОТВЕТЫ УЧАЩИХСЯ'!N31=1),AND(E31=3,'ОТВЕТЫ УЧАЩИХСЯ'!N31=3),AND(E31=4,'ОТВЕТЫ УЧАЩИХСЯ'!N31=3)),1,IF('ОТВЕТЫ УЧАЩИХСЯ'!N31="N",'ОТВЕТЫ УЧАЩИХСЯ'!N31,0)),"")),"")</f>
        <v>0</v>
      </c>
      <c r="P31" s="151">
        <f>IF(AND(OR($C31&lt;&gt;"",$D31&lt;&gt;""),$A31=1,$AA$6="ДА"),(IF(A31=1,IF(OR(AND(E31=1,'ОТВЕТЫ УЧАЩИХСЯ'!O31=3),AND(E31=2,'ОТВЕТЫ УЧАЩИХСЯ'!O31=4),AND(E31=3,'ОТВЕТЫ УЧАЩИХСЯ'!O31=2),AND(E31=4,'ОТВЕТЫ УЧАЩИХСЯ'!O31=2)),1,IF('ОТВЕТЫ УЧАЩИХСЯ'!O31="N",'ОТВЕТЫ УЧАЩИХСЯ'!O31,0)),"")),"")</f>
        <v>0</v>
      </c>
      <c r="Q31" s="151">
        <f>IF(AND(OR($C31&lt;&gt;"",$D31&lt;&gt;""),$A31=1,$AA$6="ДА"),(IF(A31=1,IF(OR(AND(E31=1,'ОТВЕТЫ УЧАЩИХСЯ'!P31=4),AND(E31=2,'ОТВЕТЫ УЧАЩИХСЯ'!P31=2),AND(E31=3,'ОТВЕТЫ УЧАЩИХСЯ'!P31=3),AND(E31=4,'ОТВЕТЫ УЧАЩИХСЯ'!P31=2)),2,IF('ОТВЕТЫ УЧАЩИХСЯ'!P31="N",'ОТВЕТЫ УЧАЩИХСЯ'!P31,0)),"")),"")</f>
        <v>2</v>
      </c>
      <c r="R31" s="151">
        <f>IF(AND(OR($C31&lt;&gt;"",$D31&lt;&gt;""),$A31=1,$AA$6="ДА"),(IF(A31=1,IF(OR(AND(E31=1,'ОТВЕТЫ УЧАЩИХСЯ'!Q31=4),AND(E31=2,'ОТВЕТЫ УЧАЩИХСЯ'!Q31=1),AND(E31=3,'ОТВЕТЫ УЧАЩИХСЯ'!Q31=3),AND(E31=4,'ОТВЕТЫ УЧАЩИХСЯ'!Q31=4)),1,IF('ОТВЕТЫ УЧАЩИХСЯ'!Q31="N",'ОТВЕТЫ УЧАЩИХСЯ'!Q31,0)),"")),"")</f>
        <v>1</v>
      </c>
      <c r="S31" s="151">
        <f>IF(AND(OR($C31&lt;&gt;"",$D31&lt;&gt;""),$A31=1,$AA$6="ДА"),(IF(A31=1,IF(OR(AND(E31=1,'ОТВЕТЫ УЧАЩИХСЯ'!R31=3),AND(E31=2,'ОТВЕТЫ УЧАЩИХСЯ'!R31=4),AND(E31=3,'ОТВЕТЫ УЧАЩИХСЯ'!R31=2),AND(E31=4,'ОТВЕТЫ УЧАЩИХСЯ'!R31=1)),1,IF('ОТВЕТЫ УЧАЩИХСЯ'!R31="N",'ОТВЕТЫ УЧАЩИХСЯ'!R31,0)),"")),"")</f>
        <v>0</v>
      </c>
      <c r="T31" s="151">
        <f>IF(AND(OR($C31&lt;&gt;"",$D31&lt;&gt;""),$A31=1,$AA$6="ДА"),(IF(A31=1,IF(OR(AND(E31=1,'ОТВЕТЫ УЧАЩИХСЯ'!S31=1),AND(E31=2,'ОТВЕТЫ УЧАЩИХСЯ'!S31=2),AND(E31=3,'ОТВЕТЫ УЧАЩИХСЯ'!S31=2),AND(E31=4,'ОТВЕТЫ УЧАЩИХСЯ'!S31=3)),1,IF('ОТВЕТЫ УЧАЩИХСЯ'!S31="N",'ОТВЕТЫ УЧАЩИХСЯ'!S31,0)),"")),"")</f>
        <v>1</v>
      </c>
      <c r="U31" s="99">
        <f t="shared" si="5"/>
        <v>1</v>
      </c>
      <c r="V31" s="99">
        <f>IF(AND(OR($C31&lt;&gt;"",$D31&lt;&gt;""),$A31=1,$AA$6="ДА"),(IF(A31=1,IF(OR(AND(E31=1,'ОТВЕТЫ УЧАЩИХСЯ'!T31=274),AND(E31=2,'ОТВЕТЫ УЧАЩИХСЯ'!T31=3),AND(E31=3,'ОТВЕТЫ УЧАЩИХСЯ'!T31=778),AND(E31=4,'ОТВЕТЫ УЧАЩИХСЯ'!T31=40)),1,IF('ОТВЕТЫ УЧАЩИХСЯ'!T31="N",'ОТВЕТЫ УЧАЩИХСЯ'!T31,0)),"")),"")</f>
        <v>0</v>
      </c>
      <c r="W31" s="99">
        <f>IF(AND(OR($C31&lt;&gt;"",$D31&lt;&gt;""),$A31=1,$AA$6="ДА"),(IF(A31=1,IF(OR(AND(E31=1,'ОТВЕТЫ УЧАЩИХСЯ'!U31=49),AND(E31=2,'ОТВЕТЫ УЧАЩИХСЯ'!U31=2),AND(E31=3,'ОТВЕТЫ УЧАЩИХСЯ'!U31="САТУРН,ЮПИТЕР"),AND(E31=4,'ОТВЕТЫ УЧАЩИХСЯ'!U31=8)),1,IF('ОТВЕТЫ УЧАЩИХСЯ'!U31="N",'ОТВЕТЫ УЧАЩИХСЯ'!U31,0)),"")),"")</f>
        <v>1</v>
      </c>
      <c r="X31" s="99">
        <f>IF(AND(OR($C31&lt;&gt;"",$D31&lt;&gt;""),$A31=1,$AA$6="ДА"),(IF(A31=1,IF(OR(AND(E31=1,'ОТВЕТЫ УЧАЩИХСЯ'!V31=20),AND(E31=2,'ОТВЕТЫ УЧАЩИХСЯ'!V31=20),AND(E31=3,'ОТВЕТЫ УЧАЩИХСЯ'!V31=22),AND(E31=4,'ОТВЕТЫ УЧАЩИХСЯ'!V31=85)),2,IF('ОТВЕТЫ УЧАЩИХСЯ'!V31="N",'ОТВЕТЫ УЧАЩИХСЯ'!V31,0)),"")),"")</f>
        <v>0</v>
      </c>
      <c r="Y31" s="99" t="str">
        <f>IF(AND(OR($C31&lt;&gt;"",$D31&lt;&gt;""),$A31=1,$AA$6="ДА"),IF((ISBLANK($D31)),"",IF($A$20=1,'ОТВЕТЫ УЧАЩИХСЯ'!W31,"")),"")</f>
        <v/>
      </c>
      <c r="Z31" s="332">
        <f t="shared" si="6"/>
        <v>14</v>
      </c>
      <c r="AA31" s="309">
        <f t="shared" si="7"/>
        <v>0.56000000000000005</v>
      </c>
      <c r="AB31" s="310">
        <f t="shared" si="8"/>
        <v>7</v>
      </c>
      <c r="AC31" s="311">
        <f t="shared" si="9"/>
        <v>63.636363636363633</v>
      </c>
      <c r="AD31" s="310">
        <f t="shared" si="10"/>
        <v>7</v>
      </c>
      <c r="AE31" s="311">
        <f t="shared" si="11"/>
        <v>50</v>
      </c>
      <c r="AF31" s="312" t="str">
        <f t="shared" si="12"/>
        <v>БАЗОВЫЙ</v>
      </c>
      <c r="AG31" s="273">
        <f t="shared" si="13"/>
        <v>15.625</v>
      </c>
      <c r="AH31" s="210">
        <f t="shared" si="14"/>
        <v>0.625</v>
      </c>
      <c r="AI31" s="374">
        <f t="shared" si="15"/>
        <v>15.625</v>
      </c>
      <c r="AJ31" s="375">
        <f t="shared" si="4"/>
        <v>74.621212121212125</v>
      </c>
      <c r="AK31" s="6"/>
      <c r="AL31" s="6"/>
      <c r="AM31" s="6"/>
      <c r="AN31" s="6"/>
      <c r="AO31" s="6"/>
      <c r="AP31" s="6"/>
    </row>
    <row r="32" spans="1:42" ht="12.75" customHeight="1" thickBot="1">
      <c r="A32" s="12">
        <f>IF('СПИСОК КЛАССА'!J32&gt;0,1,0)</f>
        <v>1</v>
      </c>
      <c r="B32" s="97">
        <v>13</v>
      </c>
      <c r="C32" s="98">
        <f>IF(NOT(ISBLANK('СПИСОК КЛАССА'!C32)),'СПИСОК КЛАССА'!C32,"")</f>
        <v>13</v>
      </c>
      <c r="D32" s="131" t="str">
        <f>IF(NOT(ISBLANK('СПИСОК КЛАССА'!D32)),IF($A32=1,'СПИСОК КЛАССА'!D32, "УЧЕНИК НЕ ВЫПОЛНЯЛ РАБОТУ"),"")</f>
        <v/>
      </c>
      <c r="E32" s="149">
        <f>IF($C32&lt;&gt;"",'СПИСОК КЛАССА'!J32,"")</f>
        <v>4</v>
      </c>
      <c r="F32" s="99">
        <f>IF(AND(OR($C32&lt;&gt;"",$D32&lt;&gt;""),$A32=1,$AA$6="ДА"),(IF(A32=1,IF(OR(AND(E32=1,'ОТВЕТЫ УЧАЩИХСЯ'!E32=1),AND(E32=2,'ОТВЕТЫ УЧАЩИХСЯ'!E32=2),AND(E32=3,'ОТВЕТЫ УЧАЩИХСЯ'!E32=4),AND(E32=4,'ОТВЕТЫ УЧАЩИХСЯ'!E32=2)),1,IF('ОТВЕТЫ УЧАЩИХСЯ'!E32="N",'ОТВЕТЫ УЧАЩИХСЯ'!E32,0)),"")),"")</f>
        <v>1</v>
      </c>
      <c r="G32" s="151">
        <f>IF(AND(OR($C32&lt;&gt;"",$D32&lt;&gt;""),$A32=1,$AA$6="ДА"),(IF(A32=1,IF(OR(AND(E32=1,'ОТВЕТЫ УЧАЩИХСЯ'!F32=4),AND(E32=2,'ОТВЕТЫ УЧАЩИХСЯ'!F32=1),AND(E32=3,'ОТВЕТЫ УЧАЩИХСЯ'!F32=2),AND(E32=4,'ОТВЕТЫ УЧАЩИХСЯ'!F32=3)),1,IF('ОТВЕТЫ УЧАЩИХСЯ'!F32="N",'ОТВЕТЫ УЧАЩИХСЯ'!F32,0)),"")),"")</f>
        <v>1</v>
      </c>
      <c r="H32" s="151">
        <f>IF(AND(OR($C32&lt;&gt;"",$D32&lt;&gt;""),$A32=1,$AA$6="ДА"),(IF(A32=1,IF(OR(AND(E32=1,'ОТВЕТЫ УЧАЩИХСЯ'!G32=4),AND(E32=2,'ОТВЕТЫ УЧАЩИХСЯ'!G32=3),AND(E32=3,'ОТВЕТЫ УЧАЩИХСЯ'!G32=4),AND(E32=4,'ОТВЕТЫ УЧАЩИХСЯ'!G32=4)),1,IF('ОТВЕТЫ УЧАЩИХСЯ'!G32="N",'ОТВЕТЫ УЧАЩИХСЯ'!G32,0)),"")),"")</f>
        <v>1</v>
      </c>
      <c r="I32" s="151">
        <f>IF(AND(OR($C32&lt;&gt;"",$D32&lt;&gt;""),$A32=1,$AA$6="ДА"),(IF(A32=1,IF(OR(AND(E32=1,'ОТВЕТЫ УЧАЩИХСЯ'!H32=2),AND(E32=2,'ОТВЕТЫ УЧАЩИХСЯ'!H32=1),AND(E32=3,'ОТВЕТЫ УЧАЩИХСЯ'!H32=3),AND(E32=4,'ОТВЕТЫ УЧАЩИХСЯ'!H32=4)),1,IF('ОТВЕТЫ УЧАЩИХСЯ'!H32="N",'ОТВЕТЫ УЧАЩИХСЯ'!H32,0)),"")),"")</f>
        <v>0</v>
      </c>
      <c r="J32" s="151">
        <f>IF(AND(OR($C32&lt;&gt;"",$D32&lt;&gt;""),$A32=1,$AA$6="ДА"),(IF(A32=1,IF(OR(AND(E32=1,'ОТВЕТЫ УЧАЩИХСЯ'!I32=3),AND(E32=2,'ОТВЕТЫ УЧАЩИХСЯ'!I32=4),AND(E32=3,'ОТВЕТЫ УЧАЩИХСЯ'!I32=3),AND(E32=4,'ОТВЕТЫ УЧАЩИХСЯ'!I32=1)),1,IF('ОТВЕТЫ УЧАЩИХСЯ'!I32="N",'ОТВЕТЫ УЧАЩИХСЯ'!I32,0)),"")),"")</f>
        <v>1</v>
      </c>
      <c r="K32" s="151">
        <f>IF(AND(OR($C32&lt;&gt;"",$D32&lt;&gt;""),$A32=1,$AA$6="ДА"),(IF(A32=1,IF(OR(AND(E32=1,'ОТВЕТЫ УЧАЩИХСЯ'!J32=3),AND(E32=2,'ОТВЕТЫ УЧАЩИХСЯ'!J32=3),AND(E32=3,'ОТВЕТЫ УЧАЩИХСЯ'!J32=2),AND(E32=4,'ОТВЕТЫ УЧАЩИХСЯ'!J32=4)),1,IF('ОТВЕТЫ УЧАЩИХСЯ'!J32="N",'ОТВЕТЫ УЧАЩИХСЯ'!J32,0)),"")),"")</f>
        <v>0</v>
      </c>
      <c r="L32" s="151">
        <f>IF(AND(OR($C32&lt;&gt;"",$D32&lt;&gt;""),$A32=1,$AA$6="ДА"),(IF(A32=1,IF(OR(AND(E32=1,'ОТВЕТЫ УЧАЩИХСЯ'!K32=2),AND(E32=2,'ОТВЕТЫ УЧАЩИХСЯ'!K32=4),AND(E32=3,'ОТВЕТЫ УЧАЩИХСЯ'!K32=1),AND(E32=4,'ОТВЕТЫ УЧАЩИХСЯ'!K32=3)),2,IF('ОТВЕТЫ УЧАЩИХСЯ'!K32="N",'ОТВЕТЫ УЧАЩИХСЯ'!K32,0)),"")),"")</f>
        <v>2</v>
      </c>
      <c r="M32" s="151">
        <f>IF(AND(OR($C32&lt;&gt;"",$D32&lt;&gt;""),$A32=1,$AA$6="ДА"),(IF(A32=1,IF(OR(AND(E32=1,'ОТВЕТЫ УЧАЩИХСЯ'!L32=4),AND(E32=2,'ОТВЕТЫ УЧАЩИХСЯ'!L32=1),AND(E32=3,'ОТВЕТЫ УЧАЩИХСЯ'!L32=4),AND(E32=4,'ОТВЕТЫ УЧАЩИХСЯ'!L32=2)),2,IF('ОТВЕТЫ УЧАЩИХСЯ'!L32="N",'ОТВЕТЫ УЧАЩИХСЯ'!L32,0)),"")),"")</f>
        <v>2</v>
      </c>
      <c r="N32" s="151">
        <f>IF(AND(OR($C32&lt;&gt;"",$D32&lt;&gt;""),$A32=1,$AA$6="ДА"),(IF(A32=1,IF(OR(AND(E32=1,'ОТВЕТЫ УЧАЩИХСЯ'!M32=1),AND(E32=2,'ОТВЕТЫ УЧАЩИХСЯ'!M32=3),AND(E32=3,'ОТВЕТЫ УЧАЩИХСЯ'!M32=3),AND(E32=4,'ОТВЕТЫ УЧАЩИХСЯ'!M32=1)),2,IF('ОТВЕТЫ УЧАЩИХСЯ'!M32="N",'ОТВЕТЫ УЧАЩИХСЯ'!M32,0)),"")),"")</f>
        <v>2</v>
      </c>
      <c r="O32" s="151">
        <f>IF(AND(OR($C32&lt;&gt;"",$D32&lt;&gt;""),$A32=1,$AA$6="ДА"),(IF(A32=1,IF(OR(AND(E32=1,'ОТВЕТЫ УЧАЩИХСЯ'!N32=2),AND(E32=2,'ОТВЕТЫ УЧАЩИХСЯ'!N32=1),AND(E32=3,'ОТВЕТЫ УЧАЩИХСЯ'!N32=3),AND(E32=4,'ОТВЕТЫ УЧАЩИХСЯ'!N32=3)),1,IF('ОТВЕТЫ УЧАЩИХСЯ'!N32="N",'ОТВЕТЫ УЧАЩИХСЯ'!N32,0)),"")),"")</f>
        <v>1</v>
      </c>
      <c r="P32" s="151">
        <f>IF(AND(OR($C32&lt;&gt;"",$D32&lt;&gt;""),$A32=1,$AA$6="ДА"),(IF(A32=1,IF(OR(AND(E32=1,'ОТВЕТЫ УЧАЩИХСЯ'!O32=3),AND(E32=2,'ОТВЕТЫ УЧАЩИХСЯ'!O32=4),AND(E32=3,'ОТВЕТЫ УЧАЩИХСЯ'!O32=2),AND(E32=4,'ОТВЕТЫ УЧАЩИХСЯ'!O32=2)),1,IF('ОТВЕТЫ УЧАЩИХСЯ'!O32="N",'ОТВЕТЫ УЧАЩИХСЯ'!O32,0)),"")),"")</f>
        <v>0</v>
      </c>
      <c r="Q32" s="151" t="str">
        <f>IF(AND(OR($C32&lt;&gt;"",$D32&lt;&gt;""),$A32=1,$AA$6="ДА"),(IF(A32=1,IF(OR(AND(E32=1,'ОТВЕТЫ УЧАЩИХСЯ'!P32=4),AND(E32=2,'ОТВЕТЫ УЧАЩИХСЯ'!P32=2),AND(E32=3,'ОТВЕТЫ УЧАЩИХСЯ'!P32=3),AND(E32=4,'ОТВЕТЫ УЧАЩИХСЯ'!P32=2)),2,IF('ОТВЕТЫ УЧАЩИХСЯ'!P32="N",'ОТВЕТЫ УЧАЩИХСЯ'!P32,0)),"")),"")</f>
        <v>N</v>
      </c>
      <c r="R32" s="151">
        <f>IF(AND(OR($C32&lt;&gt;"",$D32&lt;&gt;""),$A32=1,$AA$6="ДА"),(IF(A32=1,IF(OR(AND(E32=1,'ОТВЕТЫ УЧАЩИХСЯ'!Q32=4),AND(E32=2,'ОТВЕТЫ УЧАЩИХСЯ'!Q32=1),AND(E32=3,'ОТВЕТЫ УЧАЩИХСЯ'!Q32=3),AND(E32=4,'ОТВЕТЫ УЧАЩИХСЯ'!Q32=4)),1,IF('ОТВЕТЫ УЧАЩИХСЯ'!Q32="N",'ОТВЕТЫ УЧАЩИХСЯ'!Q32,0)),"")),"")</f>
        <v>1</v>
      </c>
      <c r="S32" s="151">
        <f>IF(AND(OR($C32&lt;&gt;"",$D32&lt;&gt;""),$A32=1,$AA$6="ДА"),(IF(A32=1,IF(OR(AND(E32=1,'ОТВЕТЫ УЧАЩИХСЯ'!R32=3),AND(E32=2,'ОТВЕТЫ УЧАЩИХСЯ'!R32=4),AND(E32=3,'ОТВЕТЫ УЧАЩИХСЯ'!R32=2),AND(E32=4,'ОТВЕТЫ УЧАЩИХСЯ'!R32=1)),1,IF('ОТВЕТЫ УЧАЩИХСЯ'!R32="N",'ОТВЕТЫ УЧАЩИХСЯ'!R32,0)),"")),"")</f>
        <v>0</v>
      </c>
      <c r="T32" s="151">
        <f>IF(AND(OR($C32&lt;&gt;"",$D32&lt;&gt;""),$A32=1,$AA$6="ДА"),(IF(A32=1,IF(OR(AND(E32=1,'ОТВЕТЫ УЧАЩИХСЯ'!S32=1),AND(E32=2,'ОТВЕТЫ УЧАЩИХСЯ'!S32=2),AND(E32=3,'ОТВЕТЫ УЧАЩИХСЯ'!S32=2),AND(E32=4,'ОТВЕТЫ УЧАЩИХСЯ'!S32=3)),1,IF('ОТВЕТЫ УЧАЩИХСЯ'!S32="N",'ОТВЕТЫ УЧАЩИХСЯ'!S32,0)),"")),"")</f>
        <v>1</v>
      </c>
      <c r="U32" s="99">
        <f t="shared" si="5"/>
        <v>2</v>
      </c>
      <c r="V32" s="99">
        <f>IF(AND(OR($C32&lt;&gt;"",$D32&lt;&gt;""),$A32=1,$AA$6="ДА"),(IF(A32=1,IF(OR(AND(E32=1,'ОТВЕТЫ УЧАЩИХСЯ'!T32=274),AND(E32=2,'ОТВЕТЫ УЧАЩИХСЯ'!T32=3),AND(E32=3,'ОТВЕТЫ УЧАЩИХСЯ'!T32=778),AND(E32=4,'ОТВЕТЫ УЧАЩИХСЯ'!T32=40)),1,IF('ОТВЕТЫ УЧАЩИХСЯ'!T32="N",'ОТВЕТЫ УЧАЩИХСЯ'!T32,0)),"")),"")</f>
        <v>1</v>
      </c>
      <c r="W32" s="99">
        <f>IF(AND(OR($C32&lt;&gt;"",$D32&lt;&gt;""),$A32=1,$AA$6="ДА"),(IF(A32=1,IF(OR(AND(E32=1,'ОТВЕТЫ УЧАЩИХСЯ'!U32=49),AND(E32=2,'ОТВЕТЫ УЧАЩИХСЯ'!U32=2),AND(E32=3,'ОТВЕТЫ УЧАЩИХСЯ'!U32="САТУРН,ЮПИТЕР"),AND(E32=4,'ОТВЕТЫ УЧАЩИХСЯ'!U32=8)),1,IF('ОТВЕТЫ УЧАЩИХСЯ'!U32="N",'ОТВЕТЫ УЧАЩИХСЯ'!U32,0)),"")),"")</f>
        <v>1</v>
      </c>
      <c r="X32" s="99">
        <f>IF(AND(OR($C32&lt;&gt;"",$D32&lt;&gt;""),$A32=1,$AA$6="ДА"),(IF(A32=1,IF(OR(AND(E32=1,'ОТВЕТЫ УЧАЩИХСЯ'!V32=20),AND(E32=2,'ОТВЕТЫ УЧАЩИХСЯ'!V32=20),AND(E32=3,'ОТВЕТЫ УЧАЩИХСЯ'!V32=22),AND(E32=4,'ОТВЕТЫ УЧАЩИХСЯ'!V32=85)),2,IF('ОТВЕТЫ УЧАЩИХСЯ'!V32="N",'ОТВЕТЫ УЧАЩИХСЯ'!V32,0)),"")),"")</f>
        <v>2</v>
      </c>
      <c r="Y32" s="99" t="str">
        <f>IF(AND(OR($C32&lt;&gt;"",$D32&lt;&gt;""),$A32=1,$AA$6="ДА"),IF((ISBLANK($D32)),"",IF($A$20=1,'ОТВЕТЫ УЧАЩИХСЯ'!W32,"")),"")</f>
        <v/>
      </c>
      <c r="Z32" s="332">
        <f t="shared" si="6"/>
        <v>17</v>
      </c>
      <c r="AA32" s="309">
        <f t="shared" si="7"/>
        <v>0.68</v>
      </c>
      <c r="AB32" s="310">
        <f t="shared" si="8"/>
        <v>7</v>
      </c>
      <c r="AC32" s="311">
        <f t="shared" si="9"/>
        <v>63.636363636363633</v>
      </c>
      <c r="AD32" s="310">
        <f t="shared" si="10"/>
        <v>10</v>
      </c>
      <c r="AE32" s="311">
        <f t="shared" si="11"/>
        <v>71.428571428571431</v>
      </c>
      <c r="AF32" s="312" t="str">
        <f t="shared" si="12"/>
        <v>БАЗОВЫЙ</v>
      </c>
      <c r="AG32" s="273">
        <f t="shared" si="13"/>
        <v>15.625</v>
      </c>
      <c r="AH32" s="210">
        <f t="shared" si="14"/>
        <v>0.625</v>
      </c>
      <c r="AI32" s="374">
        <f t="shared" si="15"/>
        <v>15.625</v>
      </c>
      <c r="AJ32" s="375">
        <f t="shared" si="4"/>
        <v>74.621212121212125</v>
      </c>
      <c r="AK32" s="6"/>
      <c r="AL32" s="6"/>
      <c r="AM32" s="6"/>
      <c r="AN32" s="6"/>
      <c r="AO32" s="6"/>
      <c r="AP32" s="6"/>
    </row>
    <row r="33" spans="1:42" ht="12.75" customHeight="1" thickBot="1">
      <c r="A33" s="12">
        <f>IF('СПИСОК КЛАССА'!J33&gt;0,1,0)</f>
        <v>0</v>
      </c>
      <c r="B33" s="97">
        <v>14</v>
      </c>
      <c r="C33" s="98">
        <f>IF(NOT(ISBLANK('СПИСОК КЛАССА'!C33)),'СПИСОК КЛАССА'!C33,"")</f>
        <v>14</v>
      </c>
      <c r="D33" s="131" t="str">
        <f>IF(NOT(ISBLANK('СПИСОК КЛАССА'!D33)),IF($A33=1,'СПИСОК КЛАССА'!D33, "УЧЕНИК НЕ ВЫПОЛНЯЛ РАБОТУ"),"")</f>
        <v/>
      </c>
      <c r="E33" s="149">
        <f>IF($C33&lt;&gt;"",'СПИСОК КЛАССА'!J33,"")</f>
        <v>0</v>
      </c>
      <c r="F33" s="99" t="str">
        <f>IF(AND(OR($C33&lt;&gt;"",$D33&lt;&gt;""),$A33=1,$AA$6="ДА"),(IF(A33=1,IF(OR(AND(E33=1,'ОТВЕТЫ УЧАЩИХСЯ'!E33=1),AND(E33=2,'ОТВЕТЫ УЧАЩИХСЯ'!E33=2),AND(E33=3,'ОТВЕТЫ УЧАЩИХСЯ'!E33=4),AND(E33=4,'ОТВЕТЫ УЧАЩИХСЯ'!E33=2)),1,IF('ОТВЕТЫ УЧАЩИХСЯ'!E33="N",'ОТВЕТЫ УЧАЩИХСЯ'!E33,0)),"")),"")</f>
        <v/>
      </c>
      <c r="G33" s="151" t="str">
        <f>IF(AND(OR($C33&lt;&gt;"",$D33&lt;&gt;""),$A33=1,$AA$6="ДА"),(IF(A33=1,IF(OR(AND(E33=1,'ОТВЕТЫ УЧАЩИХСЯ'!F33=4),AND(E33=2,'ОТВЕТЫ УЧАЩИХСЯ'!F33=1),AND(E33=3,'ОТВЕТЫ УЧАЩИХСЯ'!F33=2),AND(E33=4,'ОТВЕТЫ УЧАЩИХСЯ'!F33=3)),1,IF('ОТВЕТЫ УЧАЩИХСЯ'!F33="N",'ОТВЕТЫ УЧАЩИХСЯ'!F33,0)),"")),"")</f>
        <v/>
      </c>
      <c r="H33" s="151" t="str">
        <f>IF(AND(OR($C33&lt;&gt;"",$D33&lt;&gt;""),$A33=1,$AA$6="ДА"),(IF(A33=1,IF(OR(AND(E33=1,'ОТВЕТЫ УЧАЩИХСЯ'!G33=4),AND(E33=2,'ОТВЕТЫ УЧАЩИХСЯ'!G33=3),AND(E33=3,'ОТВЕТЫ УЧАЩИХСЯ'!G33=4),AND(E33=4,'ОТВЕТЫ УЧАЩИХСЯ'!G33=4)),1,IF('ОТВЕТЫ УЧАЩИХСЯ'!G33="N",'ОТВЕТЫ УЧАЩИХСЯ'!G33,0)),"")),"")</f>
        <v/>
      </c>
      <c r="I33" s="151" t="str">
        <f>IF(AND(OR($C33&lt;&gt;"",$D33&lt;&gt;""),$A33=1,$AA$6="ДА"),(IF(A33=1,IF(OR(AND(E33=1,'ОТВЕТЫ УЧАЩИХСЯ'!H33=2),AND(E33=2,'ОТВЕТЫ УЧАЩИХСЯ'!H33=1),AND(E33=3,'ОТВЕТЫ УЧАЩИХСЯ'!H33=3),AND(E33=4,'ОТВЕТЫ УЧАЩИХСЯ'!H33=4)),1,IF('ОТВЕТЫ УЧАЩИХСЯ'!H33="N",'ОТВЕТЫ УЧАЩИХСЯ'!H33,0)),"")),"")</f>
        <v/>
      </c>
      <c r="J33" s="151" t="str">
        <f>IF(AND(OR($C33&lt;&gt;"",$D33&lt;&gt;""),$A33=1,$AA$6="ДА"),(IF(A33=1,IF(OR(AND(E33=1,'ОТВЕТЫ УЧАЩИХСЯ'!I33=3),AND(E33=2,'ОТВЕТЫ УЧАЩИХСЯ'!I33=4),AND(E33=3,'ОТВЕТЫ УЧАЩИХСЯ'!I33=3),AND(E33=4,'ОТВЕТЫ УЧАЩИХСЯ'!I33=1)),1,IF('ОТВЕТЫ УЧАЩИХСЯ'!I33="N",'ОТВЕТЫ УЧАЩИХСЯ'!I33,0)),"")),"")</f>
        <v/>
      </c>
      <c r="K33" s="151" t="str">
        <f>IF(AND(OR($C33&lt;&gt;"",$D33&lt;&gt;""),$A33=1,$AA$6="ДА"),(IF(A33=1,IF(OR(AND(E33=1,'ОТВЕТЫ УЧАЩИХСЯ'!J33=3),AND(E33=2,'ОТВЕТЫ УЧАЩИХСЯ'!J33=3),AND(E33=3,'ОТВЕТЫ УЧАЩИХСЯ'!J33=2),AND(E33=4,'ОТВЕТЫ УЧАЩИХСЯ'!J33=4)),1,IF('ОТВЕТЫ УЧАЩИХСЯ'!J33="N",'ОТВЕТЫ УЧАЩИХСЯ'!J33,0)),"")),"")</f>
        <v/>
      </c>
      <c r="L33" s="151" t="str">
        <f>IF(AND(OR($C33&lt;&gt;"",$D33&lt;&gt;""),$A33=1,$AA$6="ДА"),(IF(A33=1,IF(OR(AND(E33=1,'ОТВЕТЫ УЧАЩИХСЯ'!K33=2),AND(E33=2,'ОТВЕТЫ УЧАЩИХСЯ'!K33=4),AND(E33=3,'ОТВЕТЫ УЧАЩИХСЯ'!K33=1),AND(E33=4,'ОТВЕТЫ УЧАЩИХСЯ'!K33=3)),2,IF('ОТВЕТЫ УЧАЩИХСЯ'!K33="N",'ОТВЕТЫ УЧАЩИХСЯ'!K33,0)),"")),"")</f>
        <v/>
      </c>
      <c r="M33" s="151" t="str">
        <f>IF(AND(OR($C33&lt;&gt;"",$D33&lt;&gt;""),$A33=1,$AA$6="ДА"),(IF(A33=1,IF(OR(AND(E33=1,'ОТВЕТЫ УЧАЩИХСЯ'!L33=4),AND(E33=2,'ОТВЕТЫ УЧАЩИХСЯ'!L33=1),AND(E33=3,'ОТВЕТЫ УЧАЩИХСЯ'!L33=4),AND(E33=4,'ОТВЕТЫ УЧАЩИХСЯ'!L33=2)),2,IF('ОТВЕТЫ УЧАЩИХСЯ'!L33="N",'ОТВЕТЫ УЧАЩИХСЯ'!L33,0)),"")),"")</f>
        <v/>
      </c>
      <c r="N33" s="151" t="str">
        <f>IF(AND(OR($C33&lt;&gt;"",$D33&lt;&gt;""),$A33=1,$AA$6="ДА"),(IF(A33=1,IF(OR(AND(E33=1,'ОТВЕТЫ УЧАЩИХСЯ'!M33=1),AND(E33=2,'ОТВЕТЫ УЧАЩИХСЯ'!M33=3),AND(E33=3,'ОТВЕТЫ УЧАЩИХСЯ'!M33=3),AND(E33=4,'ОТВЕТЫ УЧАЩИХСЯ'!M33=1)),2,IF('ОТВЕТЫ УЧАЩИХСЯ'!M33="N",'ОТВЕТЫ УЧАЩИХСЯ'!M33,0)),"")),"")</f>
        <v/>
      </c>
      <c r="O33" s="151" t="str">
        <f>IF(AND(OR($C33&lt;&gt;"",$D33&lt;&gt;""),$A33=1,$AA$6="ДА"),(IF(A33=1,IF(OR(AND(E33=1,'ОТВЕТЫ УЧАЩИХСЯ'!N33=2),AND(E33=2,'ОТВЕТЫ УЧАЩИХСЯ'!N33=1),AND(E33=3,'ОТВЕТЫ УЧАЩИХСЯ'!N33=3),AND(E33=4,'ОТВЕТЫ УЧАЩИХСЯ'!N33=3)),1,IF('ОТВЕТЫ УЧАЩИХСЯ'!N33="N",'ОТВЕТЫ УЧАЩИХСЯ'!N33,0)),"")),"")</f>
        <v/>
      </c>
      <c r="P33" s="151" t="str">
        <f>IF(AND(OR($C33&lt;&gt;"",$D33&lt;&gt;""),$A33=1,$AA$6="ДА"),(IF(A33=1,IF(OR(AND(E33=1,'ОТВЕТЫ УЧАЩИХСЯ'!O33=3),AND(E33=2,'ОТВЕТЫ УЧАЩИХСЯ'!O33=4),AND(E33=3,'ОТВЕТЫ УЧАЩИХСЯ'!O33=2),AND(E33=4,'ОТВЕТЫ УЧАЩИХСЯ'!O33=2)),1,IF('ОТВЕТЫ УЧАЩИХСЯ'!O33="N",'ОТВЕТЫ УЧАЩИХСЯ'!O33,0)),"")),"")</f>
        <v/>
      </c>
      <c r="Q33" s="151" t="str">
        <f>IF(AND(OR($C33&lt;&gt;"",$D33&lt;&gt;""),$A33=1,$AA$6="ДА"),(IF(A33=1,IF(OR(AND(E33=1,'ОТВЕТЫ УЧАЩИХСЯ'!P33=4),AND(E33=2,'ОТВЕТЫ УЧАЩИХСЯ'!P33=2),AND(E33=3,'ОТВЕТЫ УЧАЩИХСЯ'!P33=3),AND(E33=4,'ОТВЕТЫ УЧАЩИХСЯ'!P33=2)),2,IF('ОТВЕТЫ УЧАЩИХСЯ'!P33="N",'ОТВЕТЫ УЧАЩИХСЯ'!P33,0)),"")),"")</f>
        <v/>
      </c>
      <c r="R33" s="151" t="str">
        <f>IF(AND(OR($C33&lt;&gt;"",$D33&lt;&gt;""),$A33=1,$AA$6="ДА"),(IF(A33=1,IF(OR(AND(E33=1,'ОТВЕТЫ УЧАЩИХСЯ'!Q33=4),AND(E33=2,'ОТВЕТЫ УЧАЩИХСЯ'!Q33=1),AND(E33=3,'ОТВЕТЫ УЧАЩИХСЯ'!Q33=3),AND(E33=4,'ОТВЕТЫ УЧАЩИХСЯ'!Q33=4)),1,IF('ОТВЕТЫ УЧАЩИХСЯ'!Q33="N",'ОТВЕТЫ УЧАЩИХСЯ'!Q33,0)),"")),"")</f>
        <v/>
      </c>
      <c r="S33" s="151" t="str">
        <f>IF(AND(OR($C33&lt;&gt;"",$D33&lt;&gt;""),$A33=1,$AA$6="ДА"),(IF(A33=1,IF(OR(AND(E33=1,'ОТВЕТЫ УЧАЩИХСЯ'!R33=3),AND(E33=2,'ОТВЕТЫ УЧАЩИХСЯ'!R33=4),AND(E33=3,'ОТВЕТЫ УЧАЩИХСЯ'!R33=2),AND(E33=4,'ОТВЕТЫ УЧАЩИХСЯ'!R33=1)),1,IF('ОТВЕТЫ УЧАЩИХСЯ'!R33="N",'ОТВЕТЫ УЧАЩИХСЯ'!R33,0)),"")),"")</f>
        <v/>
      </c>
      <c r="T33" s="151" t="str">
        <f>IF(AND(OR($C33&lt;&gt;"",$D33&lt;&gt;""),$A33=1,$AA$6="ДА"),(IF(A33=1,IF(OR(AND(E33=1,'ОТВЕТЫ УЧАЩИХСЯ'!S33=1),AND(E33=2,'ОТВЕТЫ УЧАЩИХСЯ'!S33=2),AND(E33=3,'ОТВЕТЫ УЧАЩИХСЯ'!S33=2),AND(E33=4,'ОТВЕТЫ УЧАЩИХСЯ'!S33=3)),1,IF('ОТВЕТЫ УЧАЩИХСЯ'!S33="N",'ОТВЕТЫ УЧАЩИХСЯ'!S33,0)),"")),"")</f>
        <v/>
      </c>
      <c r="U33" s="99" t="str">
        <f t="shared" si="5"/>
        <v/>
      </c>
      <c r="V33" s="99" t="str">
        <f>IF(AND(OR($C33&lt;&gt;"",$D33&lt;&gt;""),$A33=1,$AA$6="ДА"),(IF(A33=1,IF(OR(AND(E33=1,'ОТВЕТЫ УЧАЩИХСЯ'!T33=274),AND(E33=2,'ОТВЕТЫ УЧАЩИХСЯ'!T33=3),AND(E33=3,'ОТВЕТЫ УЧАЩИХСЯ'!T33=778),AND(E33=4,'ОТВЕТЫ УЧАЩИХСЯ'!T33=40)),1,IF('ОТВЕТЫ УЧАЩИХСЯ'!T33="N",'ОТВЕТЫ УЧАЩИХСЯ'!T33,0)),"")),"")</f>
        <v/>
      </c>
      <c r="W33" s="99" t="str">
        <f>IF(AND(OR($C33&lt;&gt;"",$D33&lt;&gt;""),$A33=1,$AA$6="ДА"),(IF(A33=1,IF(OR(AND(E33=1,'ОТВЕТЫ УЧАЩИХСЯ'!U33=49),AND(E33=2,'ОТВЕТЫ УЧАЩИХСЯ'!U33=2),AND(E33=3,'ОТВЕТЫ УЧАЩИХСЯ'!U33="САТУРН,ЮПИТЕР"),AND(E33=4,'ОТВЕТЫ УЧАЩИХСЯ'!U33=8)),1,IF('ОТВЕТЫ УЧАЩИХСЯ'!U33="N",'ОТВЕТЫ УЧАЩИХСЯ'!U33,0)),"")),"")</f>
        <v/>
      </c>
      <c r="X33" s="99" t="str">
        <f>IF(AND(OR($C33&lt;&gt;"",$D33&lt;&gt;""),$A33=1,$AA$6="ДА"),(IF(A33=1,IF(OR(AND(E33=1,'ОТВЕТЫ УЧАЩИХСЯ'!V33=20),AND(E33=2,'ОТВЕТЫ УЧАЩИХСЯ'!V33=20),AND(E33=3,'ОТВЕТЫ УЧАЩИХСЯ'!V33=22),AND(E33=4,'ОТВЕТЫ УЧАЩИХСЯ'!V33=85)),2,IF('ОТВЕТЫ УЧАЩИХСЯ'!V33="N",'ОТВЕТЫ УЧАЩИХСЯ'!V33,0)),"")),"")</f>
        <v/>
      </c>
      <c r="Y33" s="99" t="str">
        <f>IF(AND(OR($C33&lt;&gt;"",$D33&lt;&gt;""),$A33=1,$AA$6="ДА"),IF((ISBLANK($D33)),"",IF($A$20=1,'ОТВЕТЫ УЧАЩИХСЯ'!W33,"")),"")</f>
        <v/>
      </c>
      <c r="Z33" s="332" t="str">
        <f t="shared" si="6"/>
        <v/>
      </c>
      <c r="AA33" s="309" t="str">
        <f t="shared" si="7"/>
        <v/>
      </c>
      <c r="AB33" s="310" t="str">
        <f t="shared" si="8"/>
        <v/>
      </c>
      <c r="AC33" s="311" t="str">
        <f t="shared" si="9"/>
        <v/>
      </c>
      <c r="AD33" s="310" t="str">
        <f t="shared" si="10"/>
        <v/>
      </c>
      <c r="AE33" s="311" t="str">
        <f t="shared" si="11"/>
        <v/>
      </c>
      <c r="AF33" s="312" t="str">
        <f t="shared" si="12"/>
        <v/>
      </c>
      <c r="AG33" s="273">
        <f t="shared" si="13"/>
        <v>15.625</v>
      </c>
      <c r="AH33" s="210">
        <f t="shared" si="14"/>
        <v>0.625</v>
      </c>
      <c r="AI33" s="374">
        <f t="shared" si="15"/>
        <v>15.625</v>
      </c>
      <c r="AJ33" s="375">
        <f t="shared" si="4"/>
        <v>74.621212121212125</v>
      </c>
      <c r="AK33" s="6"/>
      <c r="AL33" s="6"/>
      <c r="AM33" s="6"/>
      <c r="AN33" s="6"/>
      <c r="AO33" s="6"/>
      <c r="AP33" s="6"/>
    </row>
    <row r="34" spans="1:42" ht="12.75" customHeight="1" thickBot="1">
      <c r="A34" s="12">
        <f>IF('СПИСОК КЛАССА'!J34&gt;0,1,0)</f>
        <v>1</v>
      </c>
      <c r="B34" s="97">
        <v>15</v>
      </c>
      <c r="C34" s="98">
        <f>IF(NOT(ISBLANK('СПИСОК КЛАССА'!C34)),'СПИСОК КЛАССА'!C34,"")</f>
        <v>15</v>
      </c>
      <c r="D34" s="131" t="str">
        <f>IF(NOT(ISBLANK('СПИСОК КЛАССА'!D34)),IF($A34=1,'СПИСОК КЛАССА'!D34, "УЧЕНИК НЕ ВЫПОЛНЯЛ РАБОТУ"),"")</f>
        <v/>
      </c>
      <c r="E34" s="149">
        <f>IF($C34&lt;&gt;"",'СПИСОК КЛАССА'!J34,"")</f>
        <v>3</v>
      </c>
      <c r="F34" s="99">
        <f>IF(AND(OR($C34&lt;&gt;"",$D34&lt;&gt;""),$A34=1,$AA$6="ДА"),(IF(A34=1,IF(OR(AND(E34=1,'ОТВЕТЫ УЧАЩИХСЯ'!E34=1),AND(E34=2,'ОТВЕТЫ УЧАЩИХСЯ'!E34=2),AND(E34=3,'ОТВЕТЫ УЧАЩИХСЯ'!E34=4),AND(E34=4,'ОТВЕТЫ УЧАЩИХСЯ'!E34=2)),1,IF('ОТВЕТЫ УЧАЩИХСЯ'!E34="N",'ОТВЕТЫ УЧАЩИХСЯ'!E34,0)),"")),"")</f>
        <v>1</v>
      </c>
      <c r="G34" s="151">
        <f>IF(AND(OR($C34&lt;&gt;"",$D34&lt;&gt;""),$A34=1,$AA$6="ДА"),(IF(A34=1,IF(OR(AND(E34=1,'ОТВЕТЫ УЧАЩИХСЯ'!F34=4),AND(E34=2,'ОТВЕТЫ УЧАЩИХСЯ'!F34=1),AND(E34=3,'ОТВЕТЫ УЧАЩИХСЯ'!F34=2),AND(E34=4,'ОТВЕТЫ УЧАЩИХСЯ'!F34=3)),1,IF('ОТВЕТЫ УЧАЩИХСЯ'!F34="N",'ОТВЕТЫ УЧАЩИХСЯ'!F34,0)),"")),"")</f>
        <v>1</v>
      </c>
      <c r="H34" s="151">
        <f>IF(AND(OR($C34&lt;&gt;"",$D34&lt;&gt;""),$A34=1,$AA$6="ДА"),(IF(A34=1,IF(OR(AND(E34=1,'ОТВЕТЫ УЧАЩИХСЯ'!G34=4),AND(E34=2,'ОТВЕТЫ УЧАЩИХСЯ'!G34=3),AND(E34=3,'ОТВЕТЫ УЧАЩИХСЯ'!G34=4),AND(E34=4,'ОТВЕТЫ УЧАЩИХСЯ'!G34=4)),1,IF('ОТВЕТЫ УЧАЩИХСЯ'!G34="N",'ОТВЕТЫ УЧАЩИХСЯ'!G34,0)),"")),"")</f>
        <v>0</v>
      </c>
      <c r="I34" s="151">
        <f>IF(AND(OR($C34&lt;&gt;"",$D34&lt;&gt;""),$A34=1,$AA$6="ДА"),(IF(A34=1,IF(OR(AND(E34=1,'ОТВЕТЫ УЧАЩИХСЯ'!H34=2),AND(E34=2,'ОТВЕТЫ УЧАЩИХСЯ'!H34=1),AND(E34=3,'ОТВЕТЫ УЧАЩИХСЯ'!H34=3),AND(E34=4,'ОТВЕТЫ УЧАЩИХСЯ'!H34=4)),1,IF('ОТВЕТЫ УЧАЩИХСЯ'!H34="N",'ОТВЕТЫ УЧАЩИХСЯ'!H34,0)),"")),"")</f>
        <v>0</v>
      </c>
      <c r="J34" s="151">
        <f>IF(AND(OR($C34&lt;&gt;"",$D34&lt;&gt;""),$A34=1,$AA$6="ДА"),(IF(A34=1,IF(OR(AND(E34=1,'ОТВЕТЫ УЧАЩИХСЯ'!I34=3),AND(E34=2,'ОТВЕТЫ УЧАЩИХСЯ'!I34=4),AND(E34=3,'ОТВЕТЫ УЧАЩИХСЯ'!I34=3),AND(E34=4,'ОТВЕТЫ УЧАЩИХСЯ'!I34=1)),1,IF('ОТВЕТЫ УЧАЩИХСЯ'!I34="N",'ОТВЕТЫ УЧАЩИХСЯ'!I34,0)),"")),"")</f>
        <v>0</v>
      </c>
      <c r="K34" s="151">
        <f>IF(AND(OR($C34&lt;&gt;"",$D34&lt;&gt;""),$A34=1,$AA$6="ДА"),(IF(A34=1,IF(OR(AND(E34=1,'ОТВЕТЫ УЧАЩИХСЯ'!J34=3),AND(E34=2,'ОТВЕТЫ УЧАЩИХСЯ'!J34=3),AND(E34=3,'ОТВЕТЫ УЧАЩИХСЯ'!J34=2),AND(E34=4,'ОТВЕТЫ УЧАЩИХСЯ'!J34=4)),1,IF('ОТВЕТЫ УЧАЩИХСЯ'!J34="N",'ОТВЕТЫ УЧАЩИХСЯ'!J34,0)),"")),"")</f>
        <v>0</v>
      </c>
      <c r="L34" s="151">
        <f>IF(AND(OR($C34&lt;&gt;"",$D34&lt;&gt;""),$A34=1,$AA$6="ДА"),(IF(A34=1,IF(OR(AND(E34=1,'ОТВЕТЫ УЧАЩИХСЯ'!K34=2),AND(E34=2,'ОТВЕТЫ УЧАЩИХСЯ'!K34=4),AND(E34=3,'ОТВЕТЫ УЧАЩИХСЯ'!K34=1),AND(E34=4,'ОТВЕТЫ УЧАЩИХСЯ'!K34=3)),2,IF('ОТВЕТЫ УЧАЩИХСЯ'!K34="N",'ОТВЕТЫ УЧАЩИХСЯ'!K34,0)),"")),"")</f>
        <v>0</v>
      </c>
      <c r="M34" s="151">
        <f>IF(AND(OR($C34&lt;&gt;"",$D34&lt;&gt;""),$A34=1,$AA$6="ДА"),(IF(A34=1,IF(OR(AND(E34=1,'ОТВЕТЫ УЧАЩИХСЯ'!L34=4),AND(E34=2,'ОТВЕТЫ УЧАЩИХСЯ'!L34=1),AND(E34=3,'ОТВЕТЫ УЧАЩИХСЯ'!L34=4),AND(E34=4,'ОТВЕТЫ УЧАЩИХСЯ'!L34=2)),2,IF('ОТВЕТЫ УЧАЩИХСЯ'!L34="N",'ОТВЕТЫ УЧАЩИХСЯ'!L34,0)),"")),"")</f>
        <v>0</v>
      </c>
      <c r="N34" s="151">
        <f>IF(AND(OR($C34&lt;&gt;"",$D34&lt;&gt;""),$A34=1,$AA$6="ДА"),(IF(A34=1,IF(OR(AND(E34=1,'ОТВЕТЫ УЧАЩИХСЯ'!M34=1),AND(E34=2,'ОТВЕТЫ УЧАЩИХСЯ'!M34=3),AND(E34=3,'ОТВЕТЫ УЧАЩИХСЯ'!M34=3),AND(E34=4,'ОТВЕТЫ УЧАЩИХСЯ'!M34=1)),2,IF('ОТВЕТЫ УЧАЩИХСЯ'!M34="N",'ОТВЕТЫ УЧАЩИХСЯ'!M34,0)),"")),"")</f>
        <v>2</v>
      </c>
      <c r="O34" s="151">
        <f>IF(AND(OR($C34&lt;&gt;"",$D34&lt;&gt;""),$A34=1,$AA$6="ДА"),(IF(A34=1,IF(OR(AND(E34=1,'ОТВЕТЫ УЧАЩИХСЯ'!N34=2),AND(E34=2,'ОТВЕТЫ УЧАЩИХСЯ'!N34=1),AND(E34=3,'ОТВЕТЫ УЧАЩИХСЯ'!N34=3),AND(E34=4,'ОТВЕТЫ УЧАЩИХСЯ'!N34=3)),1,IF('ОТВЕТЫ УЧАЩИХСЯ'!N34="N",'ОТВЕТЫ УЧАЩИХСЯ'!N34,0)),"")),"")</f>
        <v>0</v>
      </c>
      <c r="P34" s="151">
        <f>IF(AND(OR($C34&lt;&gt;"",$D34&lt;&gt;""),$A34=1,$AA$6="ДА"),(IF(A34=1,IF(OR(AND(E34=1,'ОТВЕТЫ УЧАЩИХСЯ'!O34=3),AND(E34=2,'ОТВЕТЫ УЧАЩИХСЯ'!O34=4),AND(E34=3,'ОТВЕТЫ УЧАЩИХСЯ'!O34=2),AND(E34=4,'ОТВЕТЫ УЧАЩИХСЯ'!O34=2)),1,IF('ОТВЕТЫ УЧАЩИХСЯ'!O34="N",'ОТВЕТЫ УЧАЩИХСЯ'!O34,0)),"")),"")</f>
        <v>0</v>
      </c>
      <c r="Q34" s="151">
        <f>IF(AND(OR($C34&lt;&gt;"",$D34&lt;&gt;""),$A34=1,$AA$6="ДА"),(IF(A34=1,IF(OR(AND(E34=1,'ОТВЕТЫ УЧАЩИХСЯ'!P34=4),AND(E34=2,'ОТВЕТЫ УЧАЩИХСЯ'!P34=2),AND(E34=3,'ОТВЕТЫ УЧАЩИХСЯ'!P34=3),AND(E34=4,'ОТВЕТЫ УЧАЩИХСЯ'!P34=2)),2,IF('ОТВЕТЫ УЧАЩИХСЯ'!P34="N",'ОТВЕТЫ УЧАЩИХСЯ'!P34,0)),"")),"")</f>
        <v>0</v>
      </c>
      <c r="R34" s="151">
        <f>IF(AND(OR($C34&lt;&gt;"",$D34&lt;&gt;""),$A34=1,$AA$6="ДА"),(IF(A34=1,IF(OR(AND(E34=1,'ОТВЕТЫ УЧАЩИХСЯ'!Q34=4),AND(E34=2,'ОТВЕТЫ УЧАЩИХСЯ'!Q34=1),AND(E34=3,'ОТВЕТЫ УЧАЩИХСЯ'!Q34=3),AND(E34=4,'ОТВЕТЫ УЧАЩИХСЯ'!Q34=4)),1,IF('ОТВЕТЫ УЧАЩИХСЯ'!Q34="N",'ОТВЕТЫ УЧАЩИХСЯ'!Q34,0)),"")),"")</f>
        <v>1</v>
      </c>
      <c r="S34" s="151">
        <f>IF(AND(OR($C34&lt;&gt;"",$D34&lt;&gt;""),$A34=1,$AA$6="ДА"),(IF(A34=1,IF(OR(AND(E34=1,'ОТВЕТЫ УЧАЩИХСЯ'!R34=3),AND(E34=2,'ОТВЕТЫ УЧАЩИХСЯ'!R34=4),AND(E34=3,'ОТВЕТЫ УЧАЩИХСЯ'!R34=2),AND(E34=4,'ОТВЕТЫ УЧАЩИХСЯ'!R34=1)),1,IF('ОТВЕТЫ УЧАЩИХСЯ'!R34="N",'ОТВЕТЫ УЧАЩИХСЯ'!R34,0)),"")),"")</f>
        <v>1</v>
      </c>
      <c r="T34" s="151">
        <f>IF(AND(OR($C34&lt;&gt;"",$D34&lt;&gt;""),$A34=1,$AA$6="ДА"),(IF(A34=1,IF(OR(AND(E34=1,'ОТВЕТЫ УЧАЩИХСЯ'!S34=1),AND(E34=2,'ОТВЕТЫ УЧАЩИХСЯ'!S34=2),AND(E34=3,'ОТВЕТЫ УЧАЩИХСЯ'!S34=2),AND(E34=4,'ОТВЕТЫ УЧАЩИХСЯ'!S34=3)),1,IF('ОТВЕТЫ УЧАЩИХСЯ'!S34="N",'ОТВЕТЫ УЧАЩИХСЯ'!S34,0)),"")),"")</f>
        <v>1</v>
      </c>
      <c r="U34" s="99">
        <f t="shared" si="5"/>
        <v>1</v>
      </c>
      <c r="V34" s="99">
        <f>IF(AND(OR($C34&lt;&gt;"",$D34&lt;&gt;""),$A34=1,$AA$6="ДА"),(IF(A34=1,IF(OR(AND(E34=1,'ОТВЕТЫ УЧАЩИХСЯ'!T34=274),AND(E34=2,'ОТВЕТЫ УЧАЩИХСЯ'!T34=3),AND(E34=3,'ОТВЕТЫ УЧАЩИХСЯ'!T34=778),AND(E34=4,'ОТВЕТЫ УЧАЩИХСЯ'!T34=40)),1,IF('ОТВЕТЫ УЧАЩИХСЯ'!T34="N",'ОТВЕТЫ УЧАЩИХСЯ'!T34,0)),"")),"")</f>
        <v>1</v>
      </c>
      <c r="W34" s="99">
        <f>IF(AND(OR($C34&lt;&gt;"",$D34&lt;&gt;""),$A34=1,$AA$6="ДА"),(IF(A34=1,IF(OR(AND(E34=1,'ОТВЕТЫ УЧАЩИХСЯ'!U34=49),AND(E34=2,'ОТВЕТЫ УЧАЩИХСЯ'!U34=2),AND(E34=3,'ОТВЕТЫ УЧАЩИХСЯ'!U34="САТУРН,ЮПИТЕР"),AND(E34=4,'ОТВЕТЫ УЧАЩИХСЯ'!U34=8)),1,IF('ОТВЕТЫ УЧАЩИХСЯ'!U34="N",'ОТВЕТЫ УЧАЩИХСЯ'!U34,0)),"")),"")</f>
        <v>0</v>
      </c>
      <c r="X34" s="99">
        <f>IF(AND(OR($C34&lt;&gt;"",$D34&lt;&gt;""),$A34=1,$AA$6="ДА"),(IF(A34=1,IF(OR(AND(E34=1,'ОТВЕТЫ УЧАЩИХСЯ'!V34=20),AND(E34=2,'ОТВЕТЫ УЧАЩИХСЯ'!V34=20),AND(E34=3,'ОТВЕТЫ УЧАЩИХСЯ'!V34=22),AND(E34=4,'ОТВЕТЫ УЧАЩИХСЯ'!V34=85)),2,IF('ОТВЕТЫ УЧАЩИХСЯ'!V34="N",'ОТВЕТЫ УЧАЩИХСЯ'!V34,0)),"")),"")</f>
        <v>2</v>
      </c>
      <c r="Y34" s="99" t="str">
        <f>IF(AND(OR($C34&lt;&gt;"",$D34&lt;&gt;""),$A34=1,$AA$6="ДА"),IF((ISBLANK($D34)),"",IF($A$20=1,'ОТВЕТЫ УЧАЩИХСЯ'!W34,"")),"")</f>
        <v/>
      </c>
      <c r="Z34" s="332">
        <f t="shared" si="6"/>
        <v>10</v>
      </c>
      <c r="AA34" s="309">
        <f t="shared" si="7"/>
        <v>0.4</v>
      </c>
      <c r="AB34" s="310">
        <f t="shared" si="8"/>
        <v>5</v>
      </c>
      <c r="AC34" s="311">
        <f t="shared" si="9"/>
        <v>45.454545454545453</v>
      </c>
      <c r="AD34" s="310">
        <f t="shared" si="10"/>
        <v>5</v>
      </c>
      <c r="AE34" s="311">
        <f t="shared" si="11"/>
        <v>35.714285714285715</v>
      </c>
      <c r="AF34" s="312" t="str">
        <f t="shared" si="12"/>
        <v>НИЗКИЙ</v>
      </c>
      <c r="AG34" s="273">
        <f t="shared" si="13"/>
        <v>15.625</v>
      </c>
      <c r="AH34" s="210">
        <f t="shared" si="14"/>
        <v>0.625</v>
      </c>
      <c r="AI34" s="374">
        <f t="shared" si="15"/>
        <v>15.625</v>
      </c>
      <c r="AJ34" s="375">
        <f t="shared" si="4"/>
        <v>74.621212121212125</v>
      </c>
      <c r="AK34" s="6"/>
      <c r="AL34" s="6"/>
      <c r="AM34" s="6"/>
      <c r="AN34" s="6"/>
      <c r="AO34" s="6"/>
      <c r="AP34" s="6"/>
    </row>
    <row r="35" spans="1:42" ht="12.75" customHeight="1" thickBot="1">
      <c r="A35" s="12">
        <f>IF('СПИСОК КЛАССА'!J35&gt;0,1,0)</f>
        <v>1</v>
      </c>
      <c r="B35" s="97">
        <v>16</v>
      </c>
      <c r="C35" s="98">
        <f>IF(NOT(ISBLANK('СПИСОК КЛАССА'!C35)),'СПИСОК КЛАССА'!C35,"")</f>
        <v>16</v>
      </c>
      <c r="D35" s="131" t="str">
        <f>IF(NOT(ISBLANK('СПИСОК КЛАССА'!D35)),IF($A35=1,'СПИСОК КЛАССА'!D35, "УЧЕНИК НЕ ВЫПОЛНЯЛ РАБОТУ"),"")</f>
        <v/>
      </c>
      <c r="E35" s="149">
        <f>IF($C35&lt;&gt;"",'СПИСОК КЛАССА'!J35,"")</f>
        <v>2</v>
      </c>
      <c r="F35" s="99">
        <f>IF(AND(OR($C35&lt;&gt;"",$D35&lt;&gt;""),$A35=1,$AA$6="ДА"),(IF(A35=1,IF(OR(AND(E35=1,'ОТВЕТЫ УЧАЩИХСЯ'!E35=1),AND(E35=2,'ОТВЕТЫ УЧАЩИХСЯ'!E35=2),AND(E35=3,'ОТВЕТЫ УЧАЩИХСЯ'!E35=4),AND(E35=4,'ОТВЕТЫ УЧАЩИХСЯ'!E35=2)),1,IF('ОТВЕТЫ УЧАЩИХСЯ'!E35="N",'ОТВЕТЫ УЧАЩИХСЯ'!E35,0)),"")),"")</f>
        <v>1</v>
      </c>
      <c r="G35" s="151">
        <f>IF(AND(OR($C35&lt;&gt;"",$D35&lt;&gt;""),$A35=1,$AA$6="ДА"),(IF(A35=1,IF(OR(AND(E35=1,'ОТВЕТЫ УЧАЩИХСЯ'!F35=4),AND(E35=2,'ОТВЕТЫ УЧАЩИХСЯ'!F35=1),AND(E35=3,'ОТВЕТЫ УЧАЩИХСЯ'!F35=2),AND(E35=4,'ОТВЕТЫ УЧАЩИХСЯ'!F35=3)),1,IF('ОТВЕТЫ УЧАЩИХСЯ'!F35="N",'ОТВЕТЫ УЧАЩИХСЯ'!F35,0)),"")),"")</f>
        <v>1</v>
      </c>
      <c r="H35" s="151">
        <f>IF(AND(OR($C35&lt;&gt;"",$D35&lt;&gt;""),$A35=1,$AA$6="ДА"),(IF(A35=1,IF(OR(AND(E35=1,'ОТВЕТЫ УЧАЩИХСЯ'!G35=4),AND(E35=2,'ОТВЕТЫ УЧАЩИХСЯ'!G35=3),AND(E35=3,'ОТВЕТЫ УЧАЩИХСЯ'!G35=4),AND(E35=4,'ОТВЕТЫ УЧАЩИХСЯ'!G35=4)),1,IF('ОТВЕТЫ УЧАЩИХСЯ'!G35="N",'ОТВЕТЫ УЧАЩИХСЯ'!G35,0)),"")),"")</f>
        <v>1</v>
      </c>
      <c r="I35" s="151" t="str">
        <f>IF(AND(OR($C35&lt;&gt;"",$D35&lt;&gt;""),$A35=1,$AA$6="ДА"),(IF(A35=1,IF(OR(AND(E35=1,'ОТВЕТЫ УЧАЩИХСЯ'!H35=2),AND(E35=2,'ОТВЕТЫ УЧАЩИХСЯ'!H35=1),AND(E35=3,'ОТВЕТЫ УЧАЩИХСЯ'!H35=3),AND(E35=4,'ОТВЕТЫ УЧАЩИХСЯ'!H35=4)),1,IF('ОТВЕТЫ УЧАЩИХСЯ'!H35="N",'ОТВЕТЫ УЧАЩИХСЯ'!H35,0)),"")),"")</f>
        <v>N</v>
      </c>
      <c r="J35" s="151">
        <f>IF(AND(OR($C35&lt;&gt;"",$D35&lt;&gt;""),$A35=1,$AA$6="ДА"),(IF(A35=1,IF(OR(AND(E35=1,'ОТВЕТЫ УЧАЩИХСЯ'!I35=3),AND(E35=2,'ОТВЕТЫ УЧАЩИХСЯ'!I35=4),AND(E35=3,'ОТВЕТЫ УЧАЩИХСЯ'!I35=3),AND(E35=4,'ОТВЕТЫ УЧАЩИХСЯ'!I35=1)),1,IF('ОТВЕТЫ УЧАЩИХСЯ'!I35="N",'ОТВЕТЫ УЧАЩИХСЯ'!I35,0)),"")),"")</f>
        <v>0</v>
      </c>
      <c r="K35" s="151">
        <f>IF(AND(OR($C35&lt;&gt;"",$D35&lt;&gt;""),$A35=1,$AA$6="ДА"),(IF(A35=1,IF(OR(AND(E35=1,'ОТВЕТЫ УЧАЩИХСЯ'!J35=3),AND(E35=2,'ОТВЕТЫ УЧАЩИХСЯ'!J35=3),AND(E35=3,'ОТВЕТЫ УЧАЩИХСЯ'!J35=2),AND(E35=4,'ОТВЕТЫ УЧАЩИХСЯ'!J35=4)),1,IF('ОТВЕТЫ УЧАЩИХСЯ'!J35="N",'ОТВЕТЫ УЧАЩИХСЯ'!J35,0)),"")),"")</f>
        <v>1</v>
      </c>
      <c r="L35" s="151">
        <f>IF(AND(OR($C35&lt;&gt;"",$D35&lt;&gt;""),$A35=1,$AA$6="ДА"),(IF(A35=1,IF(OR(AND(E35=1,'ОТВЕТЫ УЧАЩИХСЯ'!K35=2),AND(E35=2,'ОТВЕТЫ УЧАЩИХСЯ'!K35=4),AND(E35=3,'ОТВЕТЫ УЧАЩИХСЯ'!K35=1),AND(E35=4,'ОТВЕТЫ УЧАЩИХСЯ'!K35=3)),2,IF('ОТВЕТЫ УЧАЩИХСЯ'!K35="N",'ОТВЕТЫ УЧАЩИХСЯ'!K35,0)),"")),"")</f>
        <v>0</v>
      </c>
      <c r="M35" s="151">
        <f>IF(AND(OR($C35&lt;&gt;"",$D35&lt;&gt;""),$A35=1,$AA$6="ДА"),(IF(A35=1,IF(OR(AND(E35=1,'ОТВЕТЫ УЧАЩИХСЯ'!L35=4),AND(E35=2,'ОТВЕТЫ УЧАЩИХСЯ'!L35=1),AND(E35=3,'ОТВЕТЫ УЧАЩИХСЯ'!L35=4),AND(E35=4,'ОТВЕТЫ УЧАЩИХСЯ'!L35=2)),2,IF('ОТВЕТЫ УЧАЩИХСЯ'!L35="N",'ОТВЕТЫ УЧАЩИХСЯ'!L35,0)),"")),"")</f>
        <v>0</v>
      </c>
      <c r="N35" s="151" t="str">
        <f>IF(AND(OR($C35&lt;&gt;"",$D35&lt;&gt;""),$A35=1,$AA$6="ДА"),(IF(A35=1,IF(OR(AND(E35=1,'ОТВЕТЫ УЧАЩИХСЯ'!M35=1),AND(E35=2,'ОТВЕТЫ УЧАЩИХСЯ'!M35=3),AND(E35=3,'ОТВЕТЫ УЧАЩИХСЯ'!M35=3),AND(E35=4,'ОТВЕТЫ УЧАЩИХСЯ'!M35=1)),2,IF('ОТВЕТЫ УЧАЩИХСЯ'!M35="N",'ОТВЕТЫ УЧАЩИХСЯ'!M35,0)),"")),"")</f>
        <v>N</v>
      </c>
      <c r="O35" s="151">
        <f>IF(AND(OR($C35&lt;&gt;"",$D35&lt;&gt;""),$A35=1,$AA$6="ДА"),(IF(A35=1,IF(OR(AND(E35=1,'ОТВЕТЫ УЧАЩИХСЯ'!N35=2),AND(E35=2,'ОТВЕТЫ УЧАЩИХСЯ'!N35=1),AND(E35=3,'ОТВЕТЫ УЧАЩИХСЯ'!N35=3),AND(E35=4,'ОТВЕТЫ УЧАЩИХСЯ'!N35=3)),1,IF('ОТВЕТЫ УЧАЩИХСЯ'!N35="N",'ОТВЕТЫ УЧАЩИХСЯ'!N35,0)),"")),"")</f>
        <v>1</v>
      </c>
      <c r="P35" s="151">
        <f>IF(AND(OR($C35&lt;&gt;"",$D35&lt;&gt;""),$A35=1,$AA$6="ДА"),(IF(A35=1,IF(OR(AND(E35=1,'ОТВЕТЫ УЧАЩИХСЯ'!O35=3),AND(E35=2,'ОТВЕТЫ УЧАЩИХСЯ'!O35=4),AND(E35=3,'ОТВЕТЫ УЧАЩИХСЯ'!O35=2),AND(E35=4,'ОТВЕТЫ УЧАЩИХСЯ'!O35=2)),1,IF('ОТВЕТЫ УЧАЩИХСЯ'!O35="N",'ОТВЕТЫ УЧАЩИХСЯ'!O35,0)),"")),"")</f>
        <v>1</v>
      </c>
      <c r="Q35" s="151">
        <f>IF(AND(OR($C35&lt;&gt;"",$D35&lt;&gt;""),$A35=1,$AA$6="ДА"),(IF(A35=1,IF(OR(AND(E35=1,'ОТВЕТЫ УЧАЩИХСЯ'!P35=4),AND(E35=2,'ОТВЕТЫ УЧАЩИХСЯ'!P35=2),AND(E35=3,'ОТВЕТЫ УЧАЩИХСЯ'!P35=3),AND(E35=4,'ОТВЕТЫ УЧАЩИХСЯ'!P35=2)),2,IF('ОТВЕТЫ УЧАЩИХСЯ'!P35="N",'ОТВЕТЫ УЧАЩИХСЯ'!P35,0)),"")),"")</f>
        <v>2</v>
      </c>
      <c r="R35" s="151">
        <f>IF(AND(OR($C35&lt;&gt;"",$D35&lt;&gt;""),$A35=1,$AA$6="ДА"),(IF(A35=1,IF(OR(AND(E35=1,'ОТВЕТЫ УЧАЩИХСЯ'!Q35=4),AND(E35=2,'ОТВЕТЫ УЧАЩИХСЯ'!Q35=1),AND(E35=3,'ОТВЕТЫ УЧАЩИХСЯ'!Q35=3),AND(E35=4,'ОТВЕТЫ УЧАЩИХСЯ'!Q35=4)),1,IF('ОТВЕТЫ УЧАЩИХСЯ'!Q35="N",'ОТВЕТЫ УЧАЩИХСЯ'!Q35,0)),"")),"")</f>
        <v>1</v>
      </c>
      <c r="S35" s="151">
        <f>IF(AND(OR($C35&lt;&gt;"",$D35&lt;&gt;""),$A35=1,$AA$6="ДА"),(IF(A35=1,IF(OR(AND(E35=1,'ОТВЕТЫ УЧАЩИХСЯ'!R35=3),AND(E35=2,'ОТВЕТЫ УЧАЩИХСЯ'!R35=4),AND(E35=3,'ОТВЕТЫ УЧАЩИХСЯ'!R35=2),AND(E35=4,'ОТВЕТЫ УЧАЩИХСЯ'!R35=1)),1,IF('ОТВЕТЫ УЧАЩИХСЯ'!R35="N",'ОТВЕТЫ УЧАЩИХСЯ'!R35,0)),"")),"")</f>
        <v>1</v>
      </c>
      <c r="T35" s="151">
        <f>IF(AND(OR($C35&lt;&gt;"",$D35&lt;&gt;""),$A35=1,$AA$6="ДА"),(IF(A35=1,IF(OR(AND(E35=1,'ОТВЕТЫ УЧАЩИХСЯ'!S35=1),AND(E35=2,'ОТВЕТЫ УЧАЩИХСЯ'!S35=2),AND(E35=3,'ОТВЕТЫ УЧАЩИХСЯ'!S35=2),AND(E35=4,'ОТВЕТЫ УЧАЩИХСЯ'!S35=3)),1,IF('ОТВЕТЫ УЧАЩИХСЯ'!S35="N",'ОТВЕТЫ УЧАЩИХСЯ'!S35,0)),"")),"")</f>
        <v>1</v>
      </c>
      <c r="U35" s="99" t="str">
        <f t="shared" si="5"/>
        <v>N</v>
      </c>
      <c r="V35" s="99" t="str">
        <f>IF(AND(OR($C35&lt;&gt;"",$D35&lt;&gt;""),$A35=1,$AA$6="ДА"),(IF(A35=1,IF(OR(AND(E35=1,'ОТВЕТЫ УЧАЩИХСЯ'!T35=274),AND(E35=2,'ОТВЕТЫ УЧАЩИХСЯ'!T35=3),AND(E35=3,'ОТВЕТЫ УЧАЩИХСЯ'!T35=778),AND(E35=4,'ОТВЕТЫ УЧАЩИХСЯ'!T35=40)),1,IF('ОТВЕТЫ УЧАЩИХСЯ'!T35="N",'ОТВЕТЫ УЧАЩИХСЯ'!T35,0)),"")),"")</f>
        <v>N</v>
      </c>
      <c r="W35" s="99" t="str">
        <f>IF(AND(OR($C35&lt;&gt;"",$D35&lt;&gt;""),$A35=1,$AA$6="ДА"),(IF(A35=1,IF(OR(AND(E35=1,'ОТВЕТЫ УЧАЩИХСЯ'!U35=49),AND(E35=2,'ОТВЕТЫ УЧАЩИХСЯ'!U35=2),AND(E35=3,'ОТВЕТЫ УЧАЩИХСЯ'!U35="САТУРН,ЮПИТЕР"),AND(E35=4,'ОТВЕТЫ УЧАЩИХСЯ'!U35=8)),1,IF('ОТВЕТЫ УЧАЩИХСЯ'!U35="N",'ОТВЕТЫ УЧАЩИХСЯ'!U35,0)),"")),"")</f>
        <v>N</v>
      </c>
      <c r="X35" s="99">
        <f>IF(AND(OR($C35&lt;&gt;"",$D35&lt;&gt;""),$A35=1,$AA$6="ДА"),(IF(A35=1,IF(OR(AND(E35=1,'ОТВЕТЫ УЧАЩИХСЯ'!V35=20),AND(E35=2,'ОТВЕТЫ УЧАЩИХСЯ'!V35=20),AND(E35=3,'ОТВЕТЫ УЧАЩИХСЯ'!V35=22),AND(E35=4,'ОТВЕТЫ УЧАЩИХСЯ'!V35=85)),2,IF('ОТВЕТЫ УЧАЩИХСЯ'!V35="N",'ОТВЕТЫ УЧАЩИХСЯ'!V35,0)),"")),"")</f>
        <v>2</v>
      </c>
      <c r="Y35" s="99" t="str">
        <f>IF(AND(OR($C35&lt;&gt;"",$D35&lt;&gt;""),$A35=1,$AA$6="ДА"),IF((ISBLANK($D35)),"",IF($A$20=1,'ОТВЕТЫ УЧАЩИХСЯ'!W35,"")),"")</f>
        <v/>
      </c>
      <c r="Z35" s="332">
        <f t="shared" si="6"/>
        <v>13</v>
      </c>
      <c r="AA35" s="309">
        <f t="shared" si="7"/>
        <v>0.52</v>
      </c>
      <c r="AB35" s="310">
        <f t="shared" si="8"/>
        <v>9</v>
      </c>
      <c r="AC35" s="311">
        <f t="shared" si="9"/>
        <v>81.818181818181827</v>
      </c>
      <c r="AD35" s="310">
        <f t="shared" si="10"/>
        <v>4</v>
      </c>
      <c r="AE35" s="311">
        <f t="shared" si="11"/>
        <v>28.571428571428569</v>
      </c>
      <c r="AF35" s="312" t="str">
        <f t="shared" si="12"/>
        <v>БАЗОВЫЙ</v>
      </c>
      <c r="AG35" s="273">
        <f t="shared" si="13"/>
        <v>15.625</v>
      </c>
      <c r="AH35" s="210">
        <f t="shared" si="14"/>
        <v>0.625</v>
      </c>
      <c r="AI35" s="374">
        <f t="shared" si="15"/>
        <v>15.625</v>
      </c>
      <c r="AJ35" s="375">
        <f t="shared" si="4"/>
        <v>74.621212121212125</v>
      </c>
      <c r="AK35" s="6"/>
      <c r="AL35" s="6"/>
      <c r="AM35" s="6"/>
      <c r="AN35" s="6"/>
      <c r="AO35" s="6"/>
      <c r="AP35" s="6"/>
    </row>
    <row r="36" spans="1:42" ht="12.75" customHeight="1" thickBot="1">
      <c r="A36" s="12">
        <f>IF('СПИСОК КЛАССА'!J36&gt;0,1,0)</f>
        <v>1</v>
      </c>
      <c r="B36" s="97">
        <v>17</v>
      </c>
      <c r="C36" s="98">
        <f>IF(NOT(ISBLANK('СПИСОК КЛАССА'!C36)),'СПИСОК КЛАССА'!C36,"")</f>
        <v>17</v>
      </c>
      <c r="D36" s="131" t="str">
        <f>IF(NOT(ISBLANK('СПИСОК КЛАССА'!D36)),IF($A36=1,'СПИСОК КЛАССА'!D36, "УЧЕНИК НЕ ВЫПОЛНЯЛ РАБОТУ"),"")</f>
        <v/>
      </c>
      <c r="E36" s="149">
        <f>IF($C36&lt;&gt;"",'СПИСОК КЛАССА'!J36,"")</f>
        <v>2</v>
      </c>
      <c r="F36" s="99">
        <f>IF(AND(OR($C36&lt;&gt;"",$D36&lt;&gt;""),$A36=1,$AA$6="ДА"),(IF(A36=1,IF(OR(AND(E36=1,'ОТВЕТЫ УЧАЩИХСЯ'!E36=1),AND(E36=2,'ОТВЕТЫ УЧАЩИХСЯ'!E36=2),AND(E36=3,'ОТВЕТЫ УЧАЩИХСЯ'!E36=4),AND(E36=4,'ОТВЕТЫ УЧАЩИХСЯ'!E36=2)),1,IF('ОТВЕТЫ УЧАЩИХСЯ'!E36="N",'ОТВЕТЫ УЧАЩИХСЯ'!E36,0)),"")),"")</f>
        <v>1</v>
      </c>
      <c r="G36" s="151">
        <f>IF(AND(OR($C36&lt;&gt;"",$D36&lt;&gt;""),$A36=1,$AA$6="ДА"),(IF(A36=1,IF(OR(AND(E36=1,'ОТВЕТЫ УЧАЩИХСЯ'!F36=4),AND(E36=2,'ОТВЕТЫ УЧАЩИХСЯ'!F36=1),AND(E36=3,'ОТВЕТЫ УЧАЩИХСЯ'!F36=2),AND(E36=4,'ОТВЕТЫ УЧАЩИХСЯ'!F36=3)),1,IF('ОТВЕТЫ УЧАЩИХСЯ'!F36="N",'ОТВЕТЫ УЧАЩИХСЯ'!F36,0)),"")),"")</f>
        <v>1</v>
      </c>
      <c r="H36" s="151">
        <f>IF(AND(OR($C36&lt;&gt;"",$D36&lt;&gt;""),$A36=1,$AA$6="ДА"),(IF(A36=1,IF(OR(AND(E36=1,'ОТВЕТЫ УЧАЩИХСЯ'!G36=4),AND(E36=2,'ОТВЕТЫ УЧАЩИХСЯ'!G36=3),AND(E36=3,'ОТВЕТЫ УЧАЩИХСЯ'!G36=4),AND(E36=4,'ОТВЕТЫ УЧАЩИХСЯ'!G36=4)),1,IF('ОТВЕТЫ УЧАЩИХСЯ'!G36="N",'ОТВЕТЫ УЧАЩИХСЯ'!G36,0)),"")),"")</f>
        <v>1</v>
      </c>
      <c r="I36" s="151">
        <f>IF(AND(OR($C36&lt;&gt;"",$D36&lt;&gt;""),$A36=1,$AA$6="ДА"),(IF(A36=1,IF(OR(AND(E36=1,'ОТВЕТЫ УЧАЩИХСЯ'!H36=2),AND(E36=2,'ОТВЕТЫ УЧАЩИХСЯ'!H36=1),AND(E36=3,'ОТВЕТЫ УЧАЩИХСЯ'!H36=3),AND(E36=4,'ОТВЕТЫ УЧАЩИХСЯ'!H36=4)),1,IF('ОТВЕТЫ УЧАЩИХСЯ'!H36="N",'ОТВЕТЫ УЧАЩИХСЯ'!H36,0)),"")),"")</f>
        <v>0</v>
      </c>
      <c r="J36" s="151">
        <f>IF(AND(OR($C36&lt;&gt;"",$D36&lt;&gt;""),$A36=1,$AA$6="ДА"),(IF(A36=1,IF(OR(AND(E36=1,'ОТВЕТЫ УЧАЩИХСЯ'!I36=3),AND(E36=2,'ОТВЕТЫ УЧАЩИХСЯ'!I36=4),AND(E36=3,'ОТВЕТЫ УЧАЩИХСЯ'!I36=3),AND(E36=4,'ОТВЕТЫ УЧАЩИХСЯ'!I36=1)),1,IF('ОТВЕТЫ УЧАЩИХСЯ'!I36="N",'ОТВЕТЫ УЧАЩИХСЯ'!I36,0)),"")),"")</f>
        <v>0</v>
      </c>
      <c r="K36" s="151">
        <f>IF(AND(OR($C36&lt;&gt;"",$D36&lt;&gt;""),$A36=1,$AA$6="ДА"),(IF(A36=1,IF(OR(AND(E36=1,'ОТВЕТЫ УЧАЩИХСЯ'!J36=3),AND(E36=2,'ОТВЕТЫ УЧАЩИХСЯ'!J36=3),AND(E36=3,'ОТВЕТЫ УЧАЩИХСЯ'!J36=2),AND(E36=4,'ОТВЕТЫ УЧАЩИХСЯ'!J36=4)),1,IF('ОТВЕТЫ УЧАЩИХСЯ'!J36="N",'ОТВЕТЫ УЧАЩИХСЯ'!J36,0)),"")),"")</f>
        <v>0</v>
      </c>
      <c r="L36" s="151">
        <f>IF(AND(OR($C36&lt;&gt;"",$D36&lt;&gt;""),$A36=1,$AA$6="ДА"),(IF(A36=1,IF(OR(AND(E36=1,'ОТВЕТЫ УЧАЩИХСЯ'!K36=2),AND(E36=2,'ОТВЕТЫ УЧАЩИХСЯ'!K36=4),AND(E36=3,'ОТВЕТЫ УЧАЩИХСЯ'!K36=1),AND(E36=4,'ОТВЕТЫ УЧАЩИХСЯ'!K36=3)),2,IF('ОТВЕТЫ УЧАЩИХСЯ'!K36="N",'ОТВЕТЫ УЧАЩИХСЯ'!K36,0)),"")),"")</f>
        <v>0</v>
      </c>
      <c r="M36" s="151">
        <f>IF(AND(OR($C36&lt;&gt;"",$D36&lt;&gt;""),$A36=1,$AA$6="ДА"),(IF(A36=1,IF(OR(AND(E36=1,'ОТВЕТЫ УЧАЩИХСЯ'!L36=4),AND(E36=2,'ОТВЕТЫ УЧАЩИХСЯ'!L36=1),AND(E36=3,'ОТВЕТЫ УЧАЩИХСЯ'!L36=4),AND(E36=4,'ОТВЕТЫ УЧАЩИХСЯ'!L36=2)),2,IF('ОТВЕТЫ УЧАЩИХСЯ'!L36="N",'ОТВЕТЫ УЧАЩИХСЯ'!L36,0)),"")),"")</f>
        <v>2</v>
      </c>
      <c r="N36" s="151">
        <f>IF(AND(OR($C36&lt;&gt;"",$D36&lt;&gt;""),$A36=1,$AA$6="ДА"),(IF(A36=1,IF(OR(AND(E36=1,'ОТВЕТЫ УЧАЩИХСЯ'!M36=1),AND(E36=2,'ОТВЕТЫ УЧАЩИХСЯ'!M36=3),AND(E36=3,'ОТВЕТЫ УЧАЩИХСЯ'!M36=3),AND(E36=4,'ОТВЕТЫ УЧАЩИХСЯ'!M36=1)),2,IF('ОТВЕТЫ УЧАЩИХСЯ'!M36="N",'ОТВЕТЫ УЧАЩИХСЯ'!M36,0)),"")),"")</f>
        <v>0</v>
      </c>
      <c r="O36" s="151">
        <f>IF(AND(OR($C36&lt;&gt;"",$D36&lt;&gt;""),$A36=1,$AA$6="ДА"),(IF(A36=1,IF(OR(AND(E36=1,'ОТВЕТЫ УЧАЩИХСЯ'!N36=2),AND(E36=2,'ОТВЕТЫ УЧАЩИХСЯ'!N36=1),AND(E36=3,'ОТВЕТЫ УЧАЩИХСЯ'!N36=3),AND(E36=4,'ОТВЕТЫ УЧАЩИХСЯ'!N36=3)),1,IF('ОТВЕТЫ УЧАЩИХСЯ'!N36="N",'ОТВЕТЫ УЧАЩИХСЯ'!N36,0)),"")),"")</f>
        <v>1</v>
      </c>
      <c r="P36" s="151">
        <f>IF(AND(OR($C36&lt;&gt;"",$D36&lt;&gt;""),$A36=1,$AA$6="ДА"),(IF(A36=1,IF(OR(AND(E36=1,'ОТВЕТЫ УЧАЩИХСЯ'!O36=3),AND(E36=2,'ОТВЕТЫ УЧАЩИХСЯ'!O36=4),AND(E36=3,'ОТВЕТЫ УЧАЩИХСЯ'!O36=2),AND(E36=4,'ОТВЕТЫ УЧАЩИХСЯ'!O36=2)),1,IF('ОТВЕТЫ УЧАЩИХСЯ'!O36="N",'ОТВЕТЫ УЧАЩИХСЯ'!O36,0)),"")),"")</f>
        <v>1</v>
      </c>
      <c r="Q36" s="151">
        <f>IF(AND(OR($C36&lt;&gt;"",$D36&lt;&gt;""),$A36=1,$AA$6="ДА"),(IF(A36=1,IF(OR(AND(E36=1,'ОТВЕТЫ УЧАЩИХСЯ'!P36=4),AND(E36=2,'ОТВЕТЫ УЧАЩИХСЯ'!P36=2),AND(E36=3,'ОТВЕТЫ УЧАЩИХСЯ'!P36=3),AND(E36=4,'ОТВЕТЫ УЧАЩИХСЯ'!P36=2)),2,IF('ОТВЕТЫ УЧАЩИХСЯ'!P36="N",'ОТВЕТЫ УЧАЩИХСЯ'!P36,0)),"")),"")</f>
        <v>0</v>
      </c>
      <c r="R36" s="151">
        <f>IF(AND(OR($C36&lt;&gt;"",$D36&lt;&gt;""),$A36=1,$AA$6="ДА"),(IF(A36=1,IF(OR(AND(E36=1,'ОТВЕТЫ УЧАЩИХСЯ'!Q36=4),AND(E36=2,'ОТВЕТЫ УЧАЩИХСЯ'!Q36=1),AND(E36=3,'ОТВЕТЫ УЧАЩИХСЯ'!Q36=3),AND(E36=4,'ОТВЕТЫ УЧАЩИХСЯ'!Q36=4)),1,IF('ОТВЕТЫ УЧАЩИХСЯ'!Q36="N",'ОТВЕТЫ УЧАЩИХСЯ'!Q36,0)),"")),"")</f>
        <v>0</v>
      </c>
      <c r="S36" s="151">
        <f>IF(AND(OR($C36&lt;&gt;"",$D36&lt;&gt;""),$A36=1,$AA$6="ДА"),(IF(A36=1,IF(OR(AND(E36=1,'ОТВЕТЫ УЧАЩИХСЯ'!R36=3),AND(E36=2,'ОТВЕТЫ УЧАЩИХСЯ'!R36=4),AND(E36=3,'ОТВЕТЫ УЧАЩИХСЯ'!R36=2),AND(E36=4,'ОТВЕТЫ УЧАЩИХСЯ'!R36=1)),1,IF('ОТВЕТЫ УЧАЩИХСЯ'!R36="N",'ОТВЕТЫ УЧАЩИХСЯ'!R36,0)),"")),"")</f>
        <v>1</v>
      </c>
      <c r="T36" s="151">
        <f>IF(AND(OR($C36&lt;&gt;"",$D36&lt;&gt;""),$A36=1,$AA$6="ДА"),(IF(A36=1,IF(OR(AND(E36=1,'ОТВЕТЫ УЧАЩИХСЯ'!S36=1),AND(E36=2,'ОТВЕТЫ УЧАЩИХСЯ'!S36=2),AND(E36=3,'ОТВЕТЫ УЧАЩИХСЯ'!S36=2),AND(E36=4,'ОТВЕТЫ УЧАЩИХСЯ'!S36=3)),1,IF('ОТВЕТЫ УЧАЩИХСЯ'!S36="N",'ОТВЕТЫ УЧАЩИХСЯ'!S36,0)),"")),"")</f>
        <v>1</v>
      </c>
      <c r="U36" s="99">
        <f t="shared" si="5"/>
        <v>2</v>
      </c>
      <c r="V36" s="99">
        <f>IF(AND(OR($C36&lt;&gt;"",$D36&lt;&gt;""),$A36=1,$AA$6="ДА"),(IF(A36=1,IF(OR(AND(E36=1,'ОТВЕТЫ УЧАЩИХСЯ'!T36=274),AND(E36=2,'ОТВЕТЫ УЧАЩИХСЯ'!T36=3),AND(E36=3,'ОТВЕТЫ УЧАЩИХСЯ'!T36=778),AND(E36=4,'ОТВЕТЫ УЧАЩИХСЯ'!T36=40)),1,IF('ОТВЕТЫ УЧАЩИХСЯ'!T36="N",'ОТВЕТЫ УЧАЩИХСЯ'!T36,0)),"")),"")</f>
        <v>1</v>
      </c>
      <c r="W36" s="99">
        <f>IF(AND(OR($C36&lt;&gt;"",$D36&lt;&gt;""),$A36=1,$AA$6="ДА"),(IF(A36=1,IF(OR(AND(E36=1,'ОТВЕТЫ УЧАЩИХСЯ'!U36=49),AND(E36=2,'ОТВЕТЫ УЧАЩИХСЯ'!U36=2),AND(E36=3,'ОТВЕТЫ УЧАЩИХСЯ'!U36="САТУРН,ЮПИТЕР"),AND(E36=4,'ОТВЕТЫ УЧАЩИХСЯ'!U36=8)),1,IF('ОТВЕТЫ УЧАЩИХСЯ'!U36="N",'ОТВЕТЫ УЧАЩИХСЯ'!U36,0)),"")),"")</f>
        <v>1</v>
      </c>
      <c r="X36" s="99">
        <f>IF(AND(OR($C36&lt;&gt;"",$D36&lt;&gt;""),$A36=1,$AA$6="ДА"),(IF(A36=1,IF(OR(AND(E36=1,'ОТВЕТЫ УЧАЩИХСЯ'!V36=20),AND(E36=2,'ОТВЕТЫ УЧАЩИХСЯ'!V36=20),AND(E36=3,'ОТВЕТЫ УЧАЩИХСЯ'!V36=22),AND(E36=4,'ОТВЕТЫ УЧАЩИХСЯ'!V36=85)),2,IF('ОТВЕТЫ УЧАЩИХСЯ'!V36="N",'ОТВЕТЫ УЧАЩИХСЯ'!V36,0)),"")),"")</f>
        <v>2</v>
      </c>
      <c r="Y36" s="99" t="str">
        <f>IF(AND(OR($C36&lt;&gt;"",$D36&lt;&gt;""),$A36=1,$AA$6="ДА"),IF((ISBLANK($D36)),"",IF($A$20=1,'ОТВЕТЫ УЧАЩИХСЯ'!W36,"")),"")</f>
        <v/>
      </c>
      <c r="Z36" s="332">
        <f t="shared" si="6"/>
        <v>13</v>
      </c>
      <c r="AA36" s="309">
        <f t="shared" si="7"/>
        <v>0.52</v>
      </c>
      <c r="AB36" s="310">
        <f t="shared" si="8"/>
        <v>7</v>
      </c>
      <c r="AC36" s="311">
        <f t="shared" si="9"/>
        <v>63.636363636363633</v>
      </c>
      <c r="AD36" s="310">
        <f t="shared" si="10"/>
        <v>6</v>
      </c>
      <c r="AE36" s="311">
        <f t="shared" si="11"/>
        <v>42.857142857142854</v>
      </c>
      <c r="AF36" s="312" t="str">
        <f t="shared" si="12"/>
        <v>БАЗОВЫЙ</v>
      </c>
      <c r="AG36" s="273">
        <f t="shared" si="13"/>
        <v>15.625</v>
      </c>
      <c r="AH36" s="210">
        <f t="shared" si="14"/>
        <v>0.625</v>
      </c>
      <c r="AI36" s="374">
        <f t="shared" si="15"/>
        <v>15.625</v>
      </c>
      <c r="AJ36" s="375">
        <f t="shared" si="4"/>
        <v>74.621212121212125</v>
      </c>
      <c r="AK36" s="6"/>
      <c r="AL36" s="6"/>
      <c r="AM36" s="6"/>
      <c r="AN36" s="6"/>
      <c r="AO36" s="6"/>
      <c r="AP36" s="6"/>
    </row>
    <row r="37" spans="1:42" ht="12.75" customHeight="1" thickBot="1">
      <c r="A37" s="12">
        <f>IF('СПИСОК КЛАССА'!J37&gt;0,1,0)</f>
        <v>1</v>
      </c>
      <c r="B37" s="97">
        <v>18</v>
      </c>
      <c r="C37" s="98">
        <f>IF(NOT(ISBLANK('СПИСОК КЛАССА'!C37)),'СПИСОК КЛАССА'!C37,"")</f>
        <v>18</v>
      </c>
      <c r="D37" s="131" t="str">
        <f>IF(NOT(ISBLANK('СПИСОК КЛАССА'!D37)),IF($A37=1,'СПИСОК КЛАССА'!D37, "УЧЕНИК НЕ ВЫПОЛНЯЛ РАБОТУ"),"")</f>
        <v/>
      </c>
      <c r="E37" s="149">
        <f>IF($C37&lt;&gt;"",'СПИСОК КЛАССА'!J37,"")</f>
        <v>4</v>
      </c>
      <c r="F37" s="99">
        <f>IF(AND(OR($C37&lt;&gt;"",$D37&lt;&gt;""),$A37=1,$AA$6="ДА"),(IF(A37=1,IF(OR(AND(E37=1,'ОТВЕТЫ УЧАЩИХСЯ'!E37=1),AND(E37=2,'ОТВЕТЫ УЧАЩИХСЯ'!E37=2),AND(E37=3,'ОТВЕТЫ УЧАЩИХСЯ'!E37=4),AND(E37=4,'ОТВЕТЫ УЧАЩИХСЯ'!E37=2)),1,IF('ОТВЕТЫ УЧАЩИХСЯ'!E37="N",'ОТВЕТЫ УЧАЩИХСЯ'!E37,0)),"")),"")</f>
        <v>1</v>
      </c>
      <c r="G37" s="151">
        <f>IF(AND(OR($C37&lt;&gt;"",$D37&lt;&gt;""),$A37=1,$AA$6="ДА"),(IF(A37=1,IF(OR(AND(E37=1,'ОТВЕТЫ УЧАЩИХСЯ'!F37=4),AND(E37=2,'ОТВЕТЫ УЧАЩИХСЯ'!F37=1),AND(E37=3,'ОТВЕТЫ УЧАЩИХСЯ'!F37=2),AND(E37=4,'ОТВЕТЫ УЧАЩИХСЯ'!F37=3)),1,IF('ОТВЕТЫ УЧАЩИХСЯ'!F37="N",'ОТВЕТЫ УЧАЩИХСЯ'!F37,0)),"")),"")</f>
        <v>1</v>
      </c>
      <c r="H37" s="151">
        <f>IF(AND(OR($C37&lt;&gt;"",$D37&lt;&gt;""),$A37=1,$AA$6="ДА"),(IF(A37=1,IF(OR(AND(E37=1,'ОТВЕТЫ УЧАЩИХСЯ'!G37=4),AND(E37=2,'ОТВЕТЫ УЧАЩИХСЯ'!G37=3),AND(E37=3,'ОТВЕТЫ УЧАЩИХСЯ'!G37=4),AND(E37=4,'ОТВЕТЫ УЧАЩИХСЯ'!G37=4)),1,IF('ОТВЕТЫ УЧАЩИХСЯ'!G37="N",'ОТВЕТЫ УЧАЩИХСЯ'!G37,0)),"")),"")</f>
        <v>1</v>
      </c>
      <c r="I37" s="151">
        <f>IF(AND(OR($C37&lt;&gt;"",$D37&lt;&gt;""),$A37=1,$AA$6="ДА"),(IF(A37=1,IF(OR(AND(E37=1,'ОТВЕТЫ УЧАЩИХСЯ'!H37=2),AND(E37=2,'ОТВЕТЫ УЧАЩИХСЯ'!H37=1),AND(E37=3,'ОТВЕТЫ УЧАЩИХСЯ'!H37=3),AND(E37=4,'ОТВЕТЫ УЧАЩИХСЯ'!H37=4)),1,IF('ОТВЕТЫ УЧАЩИХСЯ'!H37="N",'ОТВЕТЫ УЧАЩИХСЯ'!H37,0)),"")),"")</f>
        <v>1</v>
      </c>
      <c r="J37" s="151">
        <f>IF(AND(OR($C37&lt;&gt;"",$D37&lt;&gt;""),$A37=1,$AA$6="ДА"),(IF(A37=1,IF(OR(AND(E37=1,'ОТВЕТЫ УЧАЩИХСЯ'!I37=3),AND(E37=2,'ОТВЕТЫ УЧАЩИХСЯ'!I37=4),AND(E37=3,'ОТВЕТЫ УЧАЩИХСЯ'!I37=3),AND(E37=4,'ОТВЕТЫ УЧАЩИХСЯ'!I37=1)),1,IF('ОТВЕТЫ УЧАЩИХСЯ'!I37="N",'ОТВЕТЫ УЧАЩИХСЯ'!I37,0)),"")),"")</f>
        <v>1</v>
      </c>
      <c r="K37" s="151">
        <f>IF(AND(OR($C37&lt;&gt;"",$D37&lt;&gt;""),$A37=1,$AA$6="ДА"),(IF(A37=1,IF(OR(AND(E37=1,'ОТВЕТЫ УЧАЩИХСЯ'!J37=3),AND(E37=2,'ОТВЕТЫ УЧАЩИХСЯ'!J37=3),AND(E37=3,'ОТВЕТЫ УЧАЩИХСЯ'!J37=2),AND(E37=4,'ОТВЕТЫ УЧАЩИХСЯ'!J37=4)),1,IF('ОТВЕТЫ УЧАЩИХСЯ'!J37="N",'ОТВЕТЫ УЧАЩИХСЯ'!J37,0)),"")),"")</f>
        <v>1</v>
      </c>
      <c r="L37" s="151">
        <f>IF(AND(OR($C37&lt;&gt;"",$D37&lt;&gt;""),$A37=1,$AA$6="ДА"),(IF(A37=1,IF(OR(AND(E37=1,'ОТВЕТЫ УЧАЩИХСЯ'!K37=2),AND(E37=2,'ОТВЕТЫ УЧАЩИХСЯ'!K37=4),AND(E37=3,'ОТВЕТЫ УЧАЩИХСЯ'!K37=1),AND(E37=4,'ОТВЕТЫ УЧАЩИХСЯ'!K37=3)),2,IF('ОТВЕТЫ УЧАЩИХСЯ'!K37="N",'ОТВЕТЫ УЧАЩИХСЯ'!K37,0)),"")),"")</f>
        <v>2</v>
      </c>
      <c r="M37" s="151">
        <f>IF(AND(OR($C37&lt;&gt;"",$D37&lt;&gt;""),$A37=1,$AA$6="ДА"),(IF(A37=1,IF(OR(AND(E37=1,'ОТВЕТЫ УЧАЩИХСЯ'!L37=4),AND(E37=2,'ОТВЕТЫ УЧАЩИХСЯ'!L37=1),AND(E37=3,'ОТВЕТЫ УЧАЩИХСЯ'!L37=4),AND(E37=4,'ОТВЕТЫ УЧАЩИХСЯ'!L37=2)),2,IF('ОТВЕТЫ УЧАЩИХСЯ'!L37="N",'ОТВЕТЫ УЧАЩИХСЯ'!L37,0)),"")),"")</f>
        <v>2</v>
      </c>
      <c r="N37" s="151">
        <f>IF(AND(OR($C37&lt;&gt;"",$D37&lt;&gt;""),$A37=1,$AA$6="ДА"),(IF(A37=1,IF(OR(AND(E37=1,'ОТВЕТЫ УЧАЩИХСЯ'!M37=1),AND(E37=2,'ОТВЕТЫ УЧАЩИХСЯ'!M37=3),AND(E37=3,'ОТВЕТЫ УЧАЩИХСЯ'!M37=3),AND(E37=4,'ОТВЕТЫ УЧАЩИХСЯ'!M37=1)),2,IF('ОТВЕТЫ УЧАЩИХСЯ'!M37="N",'ОТВЕТЫ УЧАЩИХСЯ'!M37,0)),"")),"")</f>
        <v>2</v>
      </c>
      <c r="O37" s="151">
        <f>IF(AND(OR($C37&lt;&gt;"",$D37&lt;&gt;""),$A37=1,$AA$6="ДА"),(IF(A37=1,IF(OR(AND(E37=1,'ОТВЕТЫ УЧАЩИХСЯ'!N37=2),AND(E37=2,'ОТВЕТЫ УЧАЩИХСЯ'!N37=1),AND(E37=3,'ОТВЕТЫ УЧАЩИХСЯ'!N37=3),AND(E37=4,'ОТВЕТЫ УЧАЩИХСЯ'!N37=3)),1,IF('ОТВЕТЫ УЧАЩИХСЯ'!N37="N",'ОТВЕТЫ УЧАЩИХСЯ'!N37,0)),"")),"")</f>
        <v>1</v>
      </c>
      <c r="P37" s="151">
        <f>IF(AND(OR($C37&lt;&gt;"",$D37&lt;&gt;""),$A37=1,$AA$6="ДА"),(IF(A37=1,IF(OR(AND(E37=1,'ОТВЕТЫ УЧАЩИХСЯ'!O37=3),AND(E37=2,'ОТВЕТЫ УЧАЩИХСЯ'!O37=4),AND(E37=3,'ОТВЕТЫ УЧАЩИХСЯ'!O37=2),AND(E37=4,'ОТВЕТЫ УЧАЩИХСЯ'!O37=2)),1,IF('ОТВЕТЫ УЧАЩИХСЯ'!O37="N",'ОТВЕТЫ УЧАЩИХСЯ'!O37,0)),"")),"")</f>
        <v>1</v>
      </c>
      <c r="Q37" s="151">
        <f>IF(AND(OR($C37&lt;&gt;"",$D37&lt;&gt;""),$A37=1,$AA$6="ДА"),(IF(A37=1,IF(OR(AND(E37=1,'ОТВЕТЫ УЧАЩИХСЯ'!P37=4),AND(E37=2,'ОТВЕТЫ УЧАЩИХСЯ'!P37=2),AND(E37=3,'ОТВЕТЫ УЧАЩИХСЯ'!P37=3),AND(E37=4,'ОТВЕТЫ УЧАЩИХСЯ'!P37=2)),2,IF('ОТВЕТЫ УЧАЩИХСЯ'!P37="N",'ОТВЕТЫ УЧАЩИХСЯ'!P37,0)),"")),"")</f>
        <v>2</v>
      </c>
      <c r="R37" s="151">
        <f>IF(AND(OR($C37&lt;&gt;"",$D37&lt;&gt;""),$A37=1,$AA$6="ДА"),(IF(A37=1,IF(OR(AND(E37=1,'ОТВЕТЫ УЧАЩИХСЯ'!Q37=4),AND(E37=2,'ОТВЕТЫ УЧАЩИХСЯ'!Q37=1),AND(E37=3,'ОТВЕТЫ УЧАЩИХСЯ'!Q37=3),AND(E37=4,'ОТВЕТЫ УЧАЩИХСЯ'!Q37=4)),1,IF('ОТВЕТЫ УЧАЩИХСЯ'!Q37="N",'ОТВЕТЫ УЧАЩИХСЯ'!Q37,0)),"")),"")</f>
        <v>1</v>
      </c>
      <c r="S37" s="151">
        <f>IF(AND(OR($C37&lt;&gt;"",$D37&lt;&gt;""),$A37=1,$AA$6="ДА"),(IF(A37=1,IF(OR(AND(E37=1,'ОТВЕТЫ УЧАЩИХСЯ'!R37=3),AND(E37=2,'ОТВЕТЫ УЧАЩИХСЯ'!R37=4),AND(E37=3,'ОТВЕТЫ УЧАЩИХСЯ'!R37=2),AND(E37=4,'ОТВЕТЫ УЧАЩИХСЯ'!R37=1)),1,IF('ОТВЕТЫ УЧАЩИХСЯ'!R37="N",'ОТВЕТЫ УЧАЩИХСЯ'!R37,0)),"")),"")</f>
        <v>1</v>
      </c>
      <c r="T37" s="151">
        <f>IF(AND(OR($C37&lt;&gt;"",$D37&lt;&gt;""),$A37=1,$AA$6="ДА"),(IF(A37=1,IF(OR(AND(E37=1,'ОТВЕТЫ УЧАЩИХСЯ'!S37=1),AND(E37=2,'ОТВЕТЫ УЧАЩИХСЯ'!S37=2),AND(E37=3,'ОТВЕТЫ УЧАЩИХСЯ'!S37=2),AND(E37=4,'ОТВЕТЫ УЧАЩИХСЯ'!S37=3)),1,IF('ОТВЕТЫ УЧАЩИХСЯ'!S37="N",'ОТВЕТЫ УЧАЩИХСЯ'!S37,0)),"")),"")</f>
        <v>1</v>
      </c>
      <c r="U37" s="99">
        <f t="shared" si="5"/>
        <v>2</v>
      </c>
      <c r="V37" s="99">
        <f>IF(AND(OR($C37&lt;&gt;"",$D37&lt;&gt;""),$A37=1,$AA$6="ДА"),(IF(A37=1,IF(OR(AND(E37=1,'ОТВЕТЫ УЧАЩИХСЯ'!T37=274),AND(E37=2,'ОТВЕТЫ УЧАЩИХСЯ'!T37=3),AND(E37=3,'ОТВЕТЫ УЧАЩИХСЯ'!T37=778),AND(E37=4,'ОТВЕТЫ УЧАЩИХСЯ'!T37=40)),1,IF('ОТВЕТЫ УЧАЩИХСЯ'!T37="N",'ОТВЕТЫ УЧАЩИХСЯ'!T37,0)),"")),"")</f>
        <v>1</v>
      </c>
      <c r="W37" s="99">
        <f>IF(AND(OR($C37&lt;&gt;"",$D37&lt;&gt;""),$A37=1,$AA$6="ДА"),(IF(A37=1,IF(OR(AND(E37=1,'ОТВЕТЫ УЧАЩИХСЯ'!U37=49),AND(E37=2,'ОТВЕТЫ УЧАЩИХСЯ'!U37=2),AND(E37=3,'ОТВЕТЫ УЧАЩИХСЯ'!U37="САТУРН,ЮПИТЕР"),AND(E37=4,'ОТВЕТЫ УЧАЩИХСЯ'!U37=8)),1,IF('ОТВЕТЫ УЧАЩИХСЯ'!U37="N",'ОТВЕТЫ УЧАЩИХСЯ'!U37,0)),"")),"")</f>
        <v>1</v>
      </c>
      <c r="X37" s="99">
        <f>IF(AND(OR($C37&lt;&gt;"",$D37&lt;&gt;""),$A37=1,$AA$6="ДА"),(IF(A37=1,IF(OR(AND(E37=1,'ОТВЕТЫ УЧАЩИХСЯ'!V37=20),AND(E37=2,'ОТВЕТЫ УЧАЩИХСЯ'!V37=20),AND(E37=3,'ОТВЕТЫ УЧАЩИХСЯ'!V37=22),AND(E37=4,'ОТВЕТЫ УЧАЩИХСЯ'!V37=85)),2,IF('ОТВЕТЫ УЧАЩИХСЯ'!V37="N",'ОТВЕТЫ УЧАЩИХСЯ'!V37,0)),"")),"")</f>
        <v>2</v>
      </c>
      <c r="Y37" s="99" t="str">
        <f>IF(AND(OR($C37&lt;&gt;"",$D37&lt;&gt;""),$A37=1,$AA$6="ДА"),IF((ISBLANK($D37)),"",IF($A$20=1,'ОТВЕТЫ УЧАЩИХСЯ'!W37,"")),"")</f>
        <v/>
      </c>
      <c r="Z37" s="332">
        <f t="shared" si="6"/>
        <v>23</v>
      </c>
      <c r="AA37" s="309">
        <f t="shared" si="7"/>
        <v>0.92</v>
      </c>
      <c r="AB37" s="310">
        <f t="shared" si="8"/>
        <v>11</v>
      </c>
      <c r="AC37" s="311">
        <f t="shared" si="9"/>
        <v>100</v>
      </c>
      <c r="AD37" s="310">
        <f t="shared" si="10"/>
        <v>12</v>
      </c>
      <c r="AE37" s="311">
        <f t="shared" si="11"/>
        <v>85.714285714285708</v>
      </c>
      <c r="AF37" s="312" t="str">
        <f t="shared" si="12"/>
        <v>ВЫСОКИЙ</v>
      </c>
      <c r="AG37" s="273">
        <f t="shared" si="13"/>
        <v>15.625</v>
      </c>
      <c r="AH37" s="210">
        <f t="shared" si="14"/>
        <v>0.625</v>
      </c>
      <c r="AI37" s="374">
        <f t="shared" si="15"/>
        <v>15.625</v>
      </c>
      <c r="AJ37" s="375">
        <f t="shared" si="4"/>
        <v>74.621212121212125</v>
      </c>
      <c r="AK37" s="6"/>
      <c r="AL37" s="6"/>
      <c r="AM37" s="6"/>
      <c r="AN37" s="6"/>
      <c r="AO37" s="6"/>
      <c r="AP37" s="6"/>
    </row>
    <row r="38" spans="1:42" ht="12.75" customHeight="1" thickBot="1">
      <c r="A38" s="12">
        <f>IF('СПИСОК КЛАССА'!J38&gt;0,1,0)</f>
        <v>1</v>
      </c>
      <c r="B38" s="97">
        <v>19</v>
      </c>
      <c r="C38" s="98">
        <f>IF(NOT(ISBLANK('СПИСОК КЛАССА'!C38)),'СПИСОК КЛАССА'!C38,"")</f>
        <v>19</v>
      </c>
      <c r="D38" s="131" t="str">
        <f>IF(NOT(ISBLANK('СПИСОК КЛАССА'!D38)),IF($A38=1,'СПИСОК КЛАССА'!D38, "УЧЕНИК НЕ ВЫПОЛНЯЛ РАБОТУ"),"")</f>
        <v/>
      </c>
      <c r="E38" s="149">
        <f>IF($C38&lt;&gt;"",'СПИСОК КЛАССА'!J38,"")</f>
        <v>3</v>
      </c>
      <c r="F38" s="99">
        <f>IF(AND(OR($C38&lt;&gt;"",$D38&lt;&gt;""),$A38=1,$AA$6="ДА"),(IF(A38=1,IF(OR(AND(E38=1,'ОТВЕТЫ УЧАЩИХСЯ'!E38=1),AND(E38=2,'ОТВЕТЫ УЧАЩИХСЯ'!E38=2),AND(E38=3,'ОТВЕТЫ УЧАЩИХСЯ'!E38=4),AND(E38=4,'ОТВЕТЫ УЧАЩИХСЯ'!E38=2)),1,IF('ОТВЕТЫ УЧАЩИХСЯ'!E38="N",'ОТВЕТЫ УЧАЩИХСЯ'!E38,0)),"")),"")</f>
        <v>1</v>
      </c>
      <c r="G38" s="151">
        <f>IF(AND(OR($C38&lt;&gt;"",$D38&lt;&gt;""),$A38=1,$AA$6="ДА"),(IF(A38=1,IF(OR(AND(E38=1,'ОТВЕТЫ УЧАЩИХСЯ'!F38=4),AND(E38=2,'ОТВЕТЫ УЧАЩИХСЯ'!F38=1),AND(E38=3,'ОТВЕТЫ УЧАЩИХСЯ'!F38=2),AND(E38=4,'ОТВЕТЫ УЧАЩИХСЯ'!F38=3)),1,IF('ОТВЕТЫ УЧАЩИХСЯ'!F38="N",'ОТВЕТЫ УЧАЩИХСЯ'!F38,0)),"")),"")</f>
        <v>1</v>
      </c>
      <c r="H38" s="151">
        <f>IF(AND(OR($C38&lt;&gt;"",$D38&lt;&gt;""),$A38=1,$AA$6="ДА"),(IF(A38=1,IF(OR(AND(E38=1,'ОТВЕТЫ УЧАЩИХСЯ'!G38=4),AND(E38=2,'ОТВЕТЫ УЧАЩИХСЯ'!G38=3),AND(E38=3,'ОТВЕТЫ УЧАЩИХСЯ'!G38=4),AND(E38=4,'ОТВЕТЫ УЧАЩИХСЯ'!G38=4)),1,IF('ОТВЕТЫ УЧАЩИХСЯ'!G38="N",'ОТВЕТЫ УЧАЩИХСЯ'!G38,0)),"")),"")</f>
        <v>1</v>
      </c>
      <c r="I38" s="151">
        <f>IF(AND(OR($C38&lt;&gt;"",$D38&lt;&gt;""),$A38=1,$AA$6="ДА"),(IF(A38=1,IF(OR(AND(E38=1,'ОТВЕТЫ УЧАЩИХСЯ'!H38=2),AND(E38=2,'ОТВЕТЫ УЧАЩИХСЯ'!H38=1),AND(E38=3,'ОТВЕТЫ УЧАЩИХСЯ'!H38=3),AND(E38=4,'ОТВЕТЫ УЧАЩИХСЯ'!H38=4)),1,IF('ОТВЕТЫ УЧАЩИХСЯ'!H38="N",'ОТВЕТЫ УЧАЩИХСЯ'!H38,0)),"")),"")</f>
        <v>0</v>
      </c>
      <c r="J38" s="151">
        <f>IF(AND(OR($C38&lt;&gt;"",$D38&lt;&gt;""),$A38=1,$AA$6="ДА"),(IF(A38=1,IF(OR(AND(E38=1,'ОТВЕТЫ УЧАЩИХСЯ'!I38=3),AND(E38=2,'ОТВЕТЫ УЧАЩИХСЯ'!I38=4),AND(E38=3,'ОТВЕТЫ УЧАЩИХСЯ'!I38=3),AND(E38=4,'ОТВЕТЫ УЧАЩИХСЯ'!I38=1)),1,IF('ОТВЕТЫ УЧАЩИХСЯ'!I38="N",'ОТВЕТЫ УЧАЩИХСЯ'!I38,0)),"")),"")</f>
        <v>1</v>
      </c>
      <c r="K38" s="151">
        <f>IF(AND(OR($C38&lt;&gt;"",$D38&lt;&gt;""),$A38=1,$AA$6="ДА"),(IF(A38=1,IF(OR(AND(E38=1,'ОТВЕТЫ УЧАЩИХСЯ'!J38=3),AND(E38=2,'ОТВЕТЫ УЧАЩИХСЯ'!J38=3),AND(E38=3,'ОТВЕТЫ УЧАЩИХСЯ'!J38=2),AND(E38=4,'ОТВЕТЫ УЧАЩИХСЯ'!J38=4)),1,IF('ОТВЕТЫ УЧАЩИХСЯ'!J38="N",'ОТВЕТЫ УЧАЩИХСЯ'!J38,0)),"")),"")</f>
        <v>1</v>
      </c>
      <c r="L38" s="151">
        <f>IF(AND(OR($C38&lt;&gt;"",$D38&lt;&gt;""),$A38=1,$AA$6="ДА"),(IF(A38=1,IF(OR(AND(E38=1,'ОТВЕТЫ УЧАЩИХСЯ'!K38=2),AND(E38=2,'ОТВЕТЫ УЧАЩИХСЯ'!K38=4),AND(E38=3,'ОТВЕТЫ УЧАЩИХСЯ'!K38=1),AND(E38=4,'ОТВЕТЫ УЧАЩИХСЯ'!K38=3)),2,IF('ОТВЕТЫ УЧАЩИХСЯ'!K38="N",'ОТВЕТЫ УЧАЩИХСЯ'!K38,0)),"")),"")</f>
        <v>2</v>
      </c>
      <c r="M38" s="151">
        <f>IF(AND(OR($C38&lt;&gt;"",$D38&lt;&gt;""),$A38=1,$AA$6="ДА"),(IF(A38=1,IF(OR(AND(E38=1,'ОТВЕТЫ УЧАЩИХСЯ'!L38=4),AND(E38=2,'ОТВЕТЫ УЧАЩИХСЯ'!L38=1),AND(E38=3,'ОТВЕТЫ УЧАЩИХСЯ'!L38=4),AND(E38=4,'ОТВЕТЫ УЧАЩИХСЯ'!L38=2)),2,IF('ОТВЕТЫ УЧАЩИХСЯ'!L38="N",'ОТВЕТЫ УЧАЩИХСЯ'!L38,0)),"")),"")</f>
        <v>2</v>
      </c>
      <c r="N38" s="151">
        <f>IF(AND(OR($C38&lt;&gt;"",$D38&lt;&gt;""),$A38=1,$AA$6="ДА"),(IF(A38=1,IF(OR(AND(E38=1,'ОТВЕТЫ УЧАЩИХСЯ'!M38=1),AND(E38=2,'ОТВЕТЫ УЧАЩИХСЯ'!M38=3),AND(E38=3,'ОТВЕТЫ УЧАЩИХСЯ'!M38=3),AND(E38=4,'ОТВЕТЫ УЧАЩИХСЯ'!M38=1)),2,IF('ОТВЕТЫ УЧАЩИХСЯ'!M38="N",'ОТВЕТЫ УЧАЩИХСЯ'!M38,0)),"")),"")</f>
        <v>2</v>
      </c>
      <c r="O38" s="151">
        <f>IF(AND(OR($C38&lt;&gt;"",$D38&lt;&gt;""),$A38=1,$AA$6="ДА"),(IF(A38=1,IF(OR(AND(E38=1,'ОТВЕТЫ УЧАЩИХСЯ'!N38=2),AND(E38=2,'ОТВЕТЫ УЧАЩИХСЯ'!N38=1),AND(E38=3,'ОТВЕТЫ УЧАЩИХСЯ'!N38=3),AND(E38=4,'ОТВЕТЫ УЧАЩИХСЯ'!N38=3)),1,IF('ОТВЕТЫ УЧАЩИХСЯ'!N38="N",'ОТВЕТЫ УЧАЩИХСЯ'!N38,0)),"")),"")</f>
        <v>1</v>
      </c>
      <c r="P38" s="151">
        <f>IF(AND(OR($C38&lt;&gt;"",$D38&lt;&gt;""),$A38=1,$AA$6="ДА"),(IF(A38=1,IF(OR(AND(E38=1,'ОТВЕТЫ УЧАЩИХСЯ'!O38=3),AND(E38=2,'ОТВЕТЫ УЧАЩИХСЯ'!O38=4),AND(E38=3,'ОТВЕТЫ УЧАЩИХСЯ'!O38=2),AND(E38=4,'ОТВЕТЫ УЧАЩИХСЯ'!O38=2)),1,IF('ОТВЕТЫ УЧАЩИХСЯ'!O38="N",'ОТВЕТЫ УЧАЩИХСЯ'!O38,0)),"")),"")</f>
        <v>1</v>
      </c>
      <c r="Q38" s="151">
        <f>IF(AND(OR($C38&lt;&gt;"",$D38&lt;&gt;""),$A38=1,$AA$6="ДА"),(IF(A38=1,IF(OR(AND(E38=1,'ОТВЕТЫ УЧАЩИХСЯ'!P38=4),AND(E38=2,'ОТВЕТЫ УЧАЩИХСЯ'!P38=2),AND(E38=3,'ОТВЕТЫ УЧАЩИХСЯ'!P38=3),AND(E38=4,'ОТВЕТЫ УЧАЩИХСЯ'!P38=2)),2,IF('ОТВЕТЫ УЧАЩИХСЯ'!P38="N",'ОТВЕТЫ УЧАЩИХСЯ'!P38,0)),"")),"")</f>
        <v>2</v>
      </c>
      <c r="R38" s="151">
        <f>IF(AND(OR($C38&lt;&gt;"",$D38&lt;&gt;""),$A38=1,$AA$6="ДА"),(IF(A38=1,IF(OR(AND(E38=1,'ОТВЕТЫ УЧАЩИХСЯ'!Q38=4),AND(E38=2,'ОТВЕТЫ УЧАЩИХСЯ'!Q38=1),AND(E38=3,'ОТВЕТЫ УЧАЩИХСЯ'!Q38=3),AND(E38=4,'ОТВЕТЫ УЧАЩИХСЯ'!Q38=4)),1,IF('ОТВЕТЫ УЧАЩИХСЯ'!Q38="N",'ОТВЕТЫ УЧАЩИХСЯ'!Q38,0)),"")),"")</f>
        <v>1</v>
      </c>
      <c r="S38" s="151">
        <f>IF(AND(OR($C38&lt;&gt;"",$D38&lt;&gt;""),$A38=1,$AA$6="ДА"),(IF(A38=1,IF(OR(AND(E38=1,'ОТВЕТЫ УЧАЩИХСЯ'!R38=3),AND(E38=2,'ОТВЕТЫ УЧАЩИХСЯ'!R38=4),AND(E38=3,'ОТВЕТЫ УЧАЩИХСЯ'!R38=2),AND(E38=4,'ОТВЕТЫ УЧАЩИХСЯ'!R38=1)),1,IF('ОТВЕТЫ УЧАЩИХСЯ'!R38="N",'ОТВЕТЫ УЧАЩИХСЯ'!R38,0)),"")),"")</f>
        <v>1</v>
      </c>
      <c r="T38" s="151">
        <f>IF(AND(OR($C38&lt;&gt;"",$D38&lt;&gt;""),$A38=1,$AA$6="ДА"),(IF(A38=1,IF(OR(AND(E38=1,'ОТВЕТЫ УЧАЩИХСЯ'!S38=1),AND(E38=2,'ОТВЕТЫ УЧАЩИХСЯ'!S38=2),AND(E38=3,'ОТВЕТЫ УЧАЩИХСЯ'!S38=2),AND(E38=4,'ОТВЕТЫ УЧАЩИХСЯ'!S38=3)),1,IF('ОТВЕТЫ УЧАЩИХСЯ'!S38="N",'ОТВЕТЫ УЧАЩИХСЯ'!S38,0)),"")),"")</f>
        <v>1</v>
      </c>
      <c r="U38" s="99">
        <f t="shared" si="5"/>
        <v>1</v>
      </c>
      <c r="V38" s="99">
        <f>IF(AND(OR($C38&lt;&gt;"",$D38&lt;&gt;""),$A38=1,$AA$6="ДА"),(IF(A38=1,IF(OR(AND(E38=1,'ОТВЕТЫ УЧАЩИХСЯ'!T38=274),AND(E38=2,'ОТВЕТЫ УЧАЩИХСЯ'!T38=3),AND(E38=3,'ОТВЕТЫ УЧАЩИХСЯ'!T38=778),AND(E38=4,'ОТВЕТЫ УЧАЩИХСЯ'!T38=40)),1,IF('ОТВЕТЫ УЧАЩИХСЯ'!T38="N",'ОТВЕТЫ УЧАЩИХСЯ'!T38,0)),"")),"")</f>
        <v>1</v>
      </c>
      <c r="W38" s="99">
        <f>IF(AND(OR($C38&lt;&gt;"",$D38&lt;&gt;""),$A38=1,$AA$6="ДА"),(IF(A38=1,IF(OR(AND(E38=1,'ОТВЕТЫ УЧАЩИХСЯ'!U38=49),AND(E38=2,'ОТВЕТЫ УЧАЩИХСЯ'!U38=2),AND(E38=3,'ОТВЕТЫ УЧАЩИХСЯ'!U38="САТУРН,ЮПИТЕР"),AND(E38=4,'ОТВЕТЫ УЧАЩИХСЯ'!U38=8)),1,IF('ОТВЕТЫ УЧАЩИХСЯ'!U38="N",'ОТВЕТЫ УЧАЩИХСЯ'!U38,0)),"")),"")</f>
        <v>0</v>
      </c>
      <c r="X38" s="99">
        <f>IF(AND(OR($C38&lt;&gt;"",$D38&lt;&gt;""),$A38=1,$AA$6="ДА"),(IF(A38=1,IF(OR(AND(E38=1,'ОТВЕТЫ УЧАЩИХСЯ'!V38=20),AND(E38=2,'ОТВЕТЫ УЧАЩИХСЯ'!V38=20),AND(E38=3,'ОТВЕТЫ УЧАЩИХСЯ'!V38=22),AND(E38=4,'ОТВЕТЫ УЧАЩИХСЯ'!V38=85)),2,IF('ОТВЕТЫ УЧАЩИХСЯ'!V38="N",'ОТВЕТЫ УЧАЩИХСЯ'!V38,0)),"")),"")</f>
        <v>0</v>
      </c>
      <c r="Y38" s="99" t="str">
        <f>IF(AND(OR($C38&lt;&gt;"",$D38&lt;&gt;""),$A38=1,$AA$6="ДА"),IF((ISBLANK($D38)),"",IF($A$20=1,'ОТВЕТЫ УЧАЩИХСЯ'!W38,"")),"")</f>
        <v/>
      </c>
      <c r="Z38" s="332">
        <f t="shared" si="6"/>
        <v>19</v>
      </c>
      <c r="AA38" s="309">
        <f t="shared" si="7"/>
        <v>0.76</v>
      </c>
      <c r="AB38" s="310">
        <f t="shared" si="8"/>
        <v>10</v>
      </c>
      <c r="AC38" s="311">
        <f t="shared" si="9"/>
        <v>90.909090909090907</v>
      </c>
      <c r="AD38" s="310">
        <f t="shared" si="10"/>
        <v>9</v>
      </c>
      <c r="AE38" s="311">
        <f t="shared" si="11"/>
        <v>64.285714285714292</v>
      </c>
      <c r="AF38" s="312" t="str">
        <f t="shared" si="12"/>
        <v>ПОВЫШЕННЫЙ</v>
      </c>
      <c r="AG38" s="273">
        <f t="shared" si="13"/>
        <v>15.625</v>
      </c>
      <c r="AH38" s="210">
        <f t="shared" si="14"/>
        <v>0.625</v>
      </c>
      <c r="AI38" s="374">
        <f t="shared" si="15"/>
        <v>15.625</v>
      </c>
      <c r="AJ38" s="375">
        <f t="shared" si="4"/>
        <v>74.621212121212125</v>
      </c>
      <c r="AK38" s="6"/>
      <c r="AL38" s="6"/>
      <c r="AM38" s="6"/>
      <c r="AN38" s="6"/>
      <c r="AO38" s="6"/>
      <c r="AP38" s="6"/>
    </row>
    <row r="39" spans="1:42" ht="12.75" customHeight="1" thickBot="1">
      <c r="A39" s="12">
        <f>IF('СПИСОК КЛАССА'!J39&gt;0,1,0)</f>
        <v>1</v>
      </c>
      <c r="B39" s="97">
        <v>20</v>
      </c>
      <c r="C39" s="98">
        <f>IF(NOT(ISBLANK('СПИСОК КЛАССА'!C39)),'СПИСОК КЛАССА'!C39,"")</f>
        <v>20</v>
      </c>
      <c r="D39" s="131" t="str">
        <f>IF(NOT(ISBLANK('СПИСОК КЛАССА'!D39)),IF($A39=1,'СПИСОК КЛАССА'!D39, "УЧЕНИК НЕ ВЫПОЛНЯЛ РАБОТУ"),"")</f>
        <v/>
      </c>
      <c r="E39" s="149">
        <f>IF($C39&lt;&gt;"",'СПИСОК КЛАССА'!J39,"")</f>
        <v>4</v>
      </c>
      <c r="F39" s="99">
        <f>IF(AND(OR($C39&lt;&gt;"",$D39&lt;&gt;""),$A39=1,$AA$6="ДА"),(IF(A39=1,IF(OR(AND(E39=1,'ОТВЕТЫ УЧАЩИХСЯ'!E39=1),AND(E39=2,'ОТВЕТЫ УЧАЩИХСЯ'!E39=2),AND(E39=3,'ОТВЕТЫ УЧАЩИХСЯ'!E39=4),AND(E39=4,'ОТВЕТЫ УЧАЩИХСЯ'!E39=2)),1,IF('ОТВЕТЫ УЧАЩИХСЯ'!E39="N",'ОТВЕТЫ УЧАЩИХСЯ'!E39,0)),"")),"")</f>
        <v>1</v>
      </c>
      <c r="G39" s="151">
        <f>IF(AND(OR($C39&lt;&gt;"",$D39&lt;&gt;""),$A39=1,$AA$6="ДА"),(IF(A39=1,IF(OR(AND(E39=1,'ОТВЕТЫ УЧАЩИХСЯ'!F39=4),AND(E39=2,'ОТВЕТЫ УЧАЩИХСЯ'!F39=1),AND(E39=3,'ОТВЕТЫ УЧАЩИХСЯ'!F39=2),AND(E39=4,'ОТВЕТЫ УЧАЩИХСЯ'!F39=3)),1,IF('ОТВЕТЫ УЧАЩИХСЯ'!F39="N",'ОТВЕТЫ УЧАЩИХСЯ'!F39,0)),"")),"")</f>
        <v>1</v>
      </c>
      <c r="H39" s="151">
        <f>IF(AND(OR($C39&lt;&gt;"",$D39&lt;&gt;""),$A39=1,$AA$6="ДА"),(IF(A39=1,IF(OR(AND(E39=1,'ОТВЕТЫ УЧАЩИХСЯ'!G39=4),AND(E39=2,'ОТВЕТЫ УЧАЩИХСЯ'!G39=3),AND(E39=3,'ОТВЕТЫ УЧАЩИХСЯ'!G39=4),AND(E39=4,'ОТВЕТЫ УЧАЩИХСЯ'!G39=4)),1,IF('ОТВЕТЫ УЧАЩИХСЯ'!G39="N",'ОТВЕТЫ УЧАЩИХСЯ'!G39,0)),"")),"")</f>
        <v>1</v>
      </c>
      <c r="I39" s="151">
        <f>IF(AND(OR($C39&lt;&gt;"",$D39&lt;&gt;""),$A39=1,$AA$6="ДА"),(IF(A39=1,IF(OR(AND(E39=1,'ОТВЕТЫ УЧАЩИХСЯ'!H39=2),AND(E39=2,'ОТВЕТЫ УЧАЩИХСЯ'!H39=1),AND(E39=3,'ОТВЕТЫ УЧАЩИХСЯ'!H39=3),AND(E39=4,'ОТВЕТЫ УЧАЩИХСЯ'!H39=4)),1,IF('ОТВЕТЫ УЧАЩИХСЯ'!H39="N",'ОТВЕТЫ УЧАЩИХСЯ'!H39,0)),"")),"")</f>
        <v>1</v>
      </c>
      <c r="J39" s="151">
        <f>IF(AND(OR($C39&lt;&gt;"",$D39&lt;&gt;""),$A39=1,$AA$6="ДА"),(IF(A39=1,IF(OR(AND(E39=1,'ОТВЕТЫ УЧАЩИХСЯ'!I39=3),AND(E39=2,'ОТВЕТЫ УЧАЩИХСЯ'!I39=4),AND(E39=3,'ОТВЕТЫ УЧАЩИХСЯ'!I39=3),AND(E39=4,'ОТВЕТЫ УЧАЩИХСЯ'!I39=1)),1,IF('ОТВЕТЫ УЧАЩИХСЯ'!I39="N",'ОТВЕТЫ УЧАЩИХСЯ'!I39,0)),"")),"")</f>
        <v>1</v>
      </c>
      <c r="K39" s="151">
        <f>IF(AND(OR($C39&lt;&gt;"",$D39&lt;&gt;""),$A39=1,$AA$6="ДА"),(IF(A39=1,IF(OR(AND(E39=1,'ОТВЕТЫ УЧАЩИХСЯ'!J39=3),AND(E39=2,'ОТВЕТЫ УЧАЩИХСЯ'!J39=3),AND(E39=3,'ОТВЕТЫ УЧАЩИХСЯ'!J39=2),AND(E39=4,'ОТВЕТЫ УЧАЩИХСЯ'!J39=4)),1,IF('ОТВЕТЫ УЧАЩИХСЯ'!J39="N",'ОТВЕТЫ УЧАЩИХСЯ'!J39,0)),"")),"")</f>
        <v>0</v>
      </c>
      <c r="L39" s="151">
        <f>IF(AND(OR($C39&lt;&gt;"",$D39&lt;&gt;""),$A39=1,$AA$6="ДА"),(IF(A39=1,IF(OR(AND(E39=1,'ОТВЕТЫ УЧАЩИХСЯ'!K39=2),AND(E39=2,'ОТВЕТЫ УЧАЩИХСЯ'!K39=4),AND(E39=3,'ОТВЕТЫ УЧАЩИХСЯ'!K39=1),AND(E39=4,'ОТВЕТЫ УЧАЩИХСЯ'!K39=3)),2,IF('ОТВЕТЫ УЧАЩИХСЯ'!K39="N",'ОТВЕТЫ УЧАЩИХСЯ'!K39,0)),"")),"")</f>
        <v>2</v>
      </c>
      <c r="M39" s="151">
        <f>IF(AND(OR($C39&lt;&gt;"",$D39&lt;&gt;""),$A39=1,$AA$6="ДА"),(IF(A39=1,IF(OR(AND(E39=1,'ОТВЕТЫ УЧАЩИХСЯ'!L39=4),AND(E39=2,'ОТВЕТЫ УЧАЩИХСЯ'!L39=1),AND(E39=3,'ОТВЕТЫ УЧАЩИХСЯ'!L39=4),AND(E39=4,'ОТВЕТЫ УЧАЩИХСЯ'!L39=2)),2,IF('ОТВЕТЫ УЧАЩИХСЯ'!L39="N",'ОТВЕТЫ УЧАЩИХСЯ'!L39,0)),"")),"")</f>
        <v>0</v>
      </c>
      <c r="N39" s="151">
        <f>IF(AND(OR($C39&lt;&gt;"",$D39&lt;&gt;""),$A39=1,$AA$6="ДА"),(IF(A39=1,IF(OR(AND(E39=1,'ОТВЕТЫ УЧАЩИХСЯ'!M39=1),AND(E39=2,'ОТВЕТЫ УЧАЩИХСЯ'!M39=3),AND(E39=3,'ОТВЕТЫ УЧАЩИХСЯ'!M39=3),AND(E39=4,'ОТВЕТЫ УЧАЩИХСЯ'!M39=1)),2,IF('ОТВЕТЫ УЧАЩИХСЯ'!M39="N",'ОТВЕТЫ УЧАЩИХСЯ'!M39,0)),"")),"")</f>
        <v>2</v>
      </c>
      <c r="O39" s="151">
        <f>IF(AND(OR($C39&lt;&gt;"",$D39&lt;&gt;""),$A39=1,$AA$6="ДА"),(IF(A39=1,IF(OR(AND(E39=1,'ОТВЕТЫ УЧАЩИХСЯ'!N39=2),AND(E39=2,'ОТВЕТЫ УЧАЩИХСЯ'!N39=1),AND(E39=3,'ОТВЕТЫ УЧАЩИХСЯ'!N39=3),AND(E39=4,'ОТВЕТЫ УЧАЩИХСЯ'!N39=3)),1,IF('ОТВЕТЫ УЧАЩИХСЯ'!N39="N",'ОТВЕТЫ УЧАЩИХСЯ'!N39,0)),"")),"")</f>
        <v>0</v>
      </c>
      <c r="P39" s="151">
        <f>IF(AND(OR($C39&lt;&gt;"",$D39&lt;&gt;""),$A39=1,$AA$6="ДА"),(IF(A39=1,IF(OR(AND(E39=1,'ОТВЕТЫ УЧАЩИХСЯ'!O39=3),AND(E39=2,'ОТВЕТЫ УЧАЩИХСЯ'!O39=4),AND(E39=3,'ОТВЕТЫ УЧАЩИХСЯ'!O39=2),AND(E39=4,'ОТВЕТЫ УЧАЩИХСЯ'!O39=2)),1,IF('ОТВЕТЫ УЧАЩИХСЯ'!O39="N",'ОТВЕТЫ УЧАЩИХСЯ'!O39,0)),"")),"")</f>
        <v>0</v>
      </c>
      <c r="Q39" s="151">
        <f>IF(AND(OR($C39&lt;&gt;"",$D39&lt;&gt;""),$A39=1,$AA$6="ДА"),(IF(A39=1,IF(OR(AND(E39=1,'ОТВЕТЫ УЧАЩИХСЯ'!P39=4),AND(E39=2,'ОТВЕТЫ УЧАЩИХСЯ'!P39=2),AND(E39=3,'ОТВЕТЫ УЧАЩИХСЯ'!P39=3),AND(E39=4,'ОТВЕТЫ УЧАЩИХСЯ'!P39=2)),2,IF('ОТВЕТЫ УЧАЩИХСЯ'!P39="N",'ОТВЕТЫ УЧАЩИХСЯ'!P39,0)),"")),"")</f>
        <v>2</v>
      </c>
      <c r="R39" s="151">
        <f>IF(AND(OR($C39&lt;&gt;"",$D39&lt;&gt;""),$A39=1,$AA$6="ДА"),(IF(A39=1,IF(OR(AND(E39=1,'ОТВЕТЫ УЧАЩИХСЯ'!Q39=4),AND(E39=2,'ОТВЕТЫ УЧАЩИХСЯ'!Q39=1),AND(E39=3,'ОТВЕТЫ УЧАЩИХСЯ'!Q39=3),AND(E39=4,'ОТВЕТЫ УЧАЩИХСЯ'!Q39=4)),1,IF('ОТВЕТЫ УЧАЩИХСЯ'!Q39="N",'ОТВЕТЫ УЧАЩИХСЯ'!Q39,0)),"")),"")</f>
        <v>1</v>
      </c>
      <c r="S39" s="151">
        <f>IF(AND(OR($C39&lt;&gt;"",$D39&lt;&gt;""),$A39=1,$AA$6="ДА"),(IF(A39=1,IF(OR(AND(E39=1,'ОТВЕТЫ УЧАЩИХСЯ'!R39=3),AND(E39=2,'ОТВЕТЫ УЧАЩИХСЯ'!R39=4),AND(E39=3,'ОТВЕТЫ УЧАЩИХСЯ'!R39=2),AND(E39=4,'ОТВЕТЫ УЧАЩИХСЯ'!R39=1)),1,IF('ОТВЕТЫ УЧАЩИХСЯ'!R39="N",'ОТВЕТЫ УЧАЩИХСЯ'!R39,0)),"")),"")</f>
        <v>0</v>
      </c>
      <c r="T39" s="151">
        <f>IF(AND(OR($C39&lt;&gt;"",$D39&lt;&gt;""),$A39=1,$AA$6="ДА"),(IF(A39=1,IF(OR(AND(E39=1,'ОТВЕТЫ УЧАЩИХСЯ'!S39=1),AND(E39=2,'ОТВЕТЫ УЧАЩИХСЯ'!S39=2),AND(E39=3,'ОТВЕТЫ УЧАЩИХСЯ'!S39=2),AND(E39=4,'ОТВЕТЫ УЧАЩИХСЯ'!S39=3)),1,IF('ОТВЕТЫ УЧАЩИХСЯ'!S39="N",'ОТВЕТЫ УЧАЩИХСЯ'!S39,0)),"")),"")</f>
        <v>1</v>
      </c>
      <c r="U39" s="99">
        <f t="shared" si="5"/>
        <v>2</v>
      </c>
      <c r="V39" s="99">
        <f>IF(AND(OR($C39&lt;&gt;"",$D39&lt;&gt;""),$A39=1,$AA$6="ДА"),(IF(A39=1,IF(OR(AND(E39=1,'ОТВЕТЫ УЧАЩИХСЯ'!T39=274),AND(E39=2,'ОТВЕТЫ УЧАЩИХСЯ'!T39=3),AND(E39=3,'ОТВЕТЫ УЧАЩИХСЯ'!T39=778),AND(E39=4,'ОТВЕТЫ УЧАЩИХСЯ'!T39=40)),1,IF('ОТВЕТЫ УЧАЩИХСЯ'!T39="N",'ОТВЕТЫ УЧАЩИХСЯ'!T39,0)),"")),"")</f>
        <v>1</v>
      </c>
      <c r="W39" s="99">
        <f>IF(AND(OR($C39&lt;&gt;"",$D39&lt;&gt;""),$A39=1,$AA$6="ДА"),(IF(A39=1,IF(OR(AND(E39=1,'ОТВЕТЫ УЧАЩИХСЯ'!U39=49),AND(E39=2,'ОТВЕТЫ УЧАЩИХСЯ'!U39=2),AND(E39=3,'ОТВЕТЫ УЧАЩИХСЯ'!U39="САТУРН,ЮПИТЕР"),AND(E39=4,'ОТВЕТЫ УЧАЩИХСЯ'!U39=8)),1,IF('ОТВЕТЫ УЧАЩИХСЯ'!U39="N",'ОТВЕТЫ УЧАЩИХСЯ'!U39,0)),"")),"")</f>
        <v>1</v>
      </c>
      <c r="X39" s="99">
        <f>IF(AND(OR($C39&lt;&gt;"",$D39&lt;&gt;""),$A39=1,$AA$6="ДА"),(IF(A39=1,IF(OR(AND(E39=1,'ОТВЕТЫ УЧАЩИХСЯ'!V39=20),AND(E39=2,'ОТВЕТЫ УЧАЩИХСЯ'!V39=20),AND(E39=3,'ОТВЕТЫ УЧАЩИХСЯ'!V39=22),AND(E39=4,'ОТВЕТЫ УЧАЩИХСЯ'!V39=85)),2,IF('ОТВЕТЫ УЧАЩИХСЯ'!V39="N",'ОТВЕТЫ УЧАЩИХСЯ'!V39,0)),"")),"")</f>
        <v>2</v>
      </c>
      <c r="Y39" s="99" t="str">
        <f>IF(AND(OR($C39&lt;&gt;"",$D39&lt;&gt;""),$A39=1,$AA$6="ДА"),IF((ISBLANK($D39)),"",IF($A$20=1,'ОТВЕТЫ УЧАЩИХСЯ'!W39,"")),"")</f>
        <v/>
      </c>
      <c r="Z39" s="332">
        <f t="shared" si="6"/>
        <v>17</v>
      </c>
      <c r="AA39" s="309">
        <f t="shared" si="7"/>
        <v>0.68</v>
      </c>
      <c r="AB39" s="310">
        <f t="shared" si="8"/>
        <v>7</v>
      </c>
      <c r="AC39" s="311">
        <f t="shared" si="9"/>
        <v>63.636363636363633</v>
      </c>
      <c r="AD39" s="310">
        <f t="shared" si="10"/>
        <v>10</v>
      </c>
      <c r="AE39" s="311">
        <f t="shared" si="11"/>
        <v>71.428571428571431</v>
      </c>
      <c r="AF39" s="312" t="str">
        <f t="shared" si="12"/>
        <v>БАЗОВЫЙ</v>
      </c>
      <c r="AG39" s="273">
        <f t="shared" si="13"/>
        <v>15.625</v>
      </c>
      <c r="AH39" s="210">
        <f t="shared" si="14"/>
        <v>0.625</v>
      </c>
      <c r="AI39" s="374">
        <f t="shared" si="15"/>
        <v>15.625</v>
      </c>
      <c r="AJ39" s="375">
        <f t="shared" si="4"/>
        <v>74.621212121212125</v>
      </c>
      <c r="AK39" s="6"/>
      <c r="AL39" s="6"/>
      <c r="AM39" s="6"/>
      <c r="AN39" s="6"/>
      <c r="AO39" s="6"/>
      <c r="AP39" s="6"/>
    </row>
    <row r="40" spans="1:42" ht="12.75" customHeight="1" thickBot="1">
      <c r="A40" s="12">
        <f>IF('СПИСОК КЛАССА'!J40&gt;0,1,0)</f>
        <v>1</v>
      </c>
      <c r="B40" s="97">
        <v>21</v>
      </c>
      <c r="C40" s="98">
        <f>IF(NOT(ISBLANK('СПИСОК КЛАССА'!C40)),'СПИСОК КЛАССА'!C40,"")</f>
        <v>21</v>
      </c>
      <c r="D40" s="131" t="str">
        <f>IF(NOT(ISBLANK('СПИСОК КЛАССА'!D40)),IF($A40=1,'СПИСОК КЛАССА'!D40, "УЧЕНИК НЕ ВЫПОЛНЯЛ РАБОТУ"),"")</f>
        <v/>
      </c>
      <c r="E40" s="149">
        <f>IF($C40&lt;&gt;"",'СПИСОК КЛАССА'!J40,"")</f>
        <v>2</v>
      </c>
      <c r="F40" s="99">
        <f>IF(AND(OR($C40&lt;&gt;"",$D40&lt;&gt;""),$A40=1,$AA$6="ДА"),(IF(A40=1,IF(OR(AND(E40=1,'ОТВЕТЫ УЧАЩИХСЯ'!E40=1),AND(E40=2,'ОТВЕТЫ УЧАЩИХСЯ'!E40=2),AND(E40=3,'ОТВЕТЫ УЧАЩИХСЯ'!E40=4),AND(E40=4,'ОТВЕТЫ УЧАЩИХСЯ'!E40=2)),1,IF('ОТВЕТЫ УЧАЩИХСЯ'!E40="N",'ОТВЕТЫ УЧАЩИХСЯ'!E40,0)),"")),"")</f>
        <v>0</v>
      </c>
      <c r="G40" s="151">
        <f>IF(AND(OR($C40&lt;&gt;"",$D40&lt;&gt;""),$A40=1,$AA$6="ДА"),(IF(A40=1,IF(OR(AND(E40=1,'ОТВЕТЫ УЧАЩИХСЯ'!F40=4),AND(E40=2,'ОТВЕТЫ УЧАЩИХСЯ'!F40=1),AND(E40=3,'ОТВЕТЫ УЧАЩИХСЯ'!F40=2),AND(E40=4,'ОТВЕТЫ УЧАЩИХСЯ'!F40=3)),1,IF('ОТВЕТЫ УЧАЩИХСЯ'!F40="N",'ОТВЕТЫ УЧАЩИХСЯ'!F40,0)),"")),"")</f>
        <v>1</v>
      </c>
      <c r="H40" s="151">
        <f>IF(AND(OR($C40&lt;&gt;"",$D40&lt;&gt;""),$A40=1,$AA$6="ДА"),(IF(A40=1,IF(OR(AND(E40=1,'ОТВЕТЫ УЧАЩИХСЯ'!G40=4),AND(E40=2,'ОТВЕТЫ УЧАЩИХСЯ'!G40=3),AND(E40=3,'ОТВЕТЫ УЧАЩИХСЯ'!G40=4),AND(E40=4,'ОТВЕТЫ УЧАЩИХСЯ'!G40=4)),1,IF('ОТВЕТЫ УЧАЩИХСЯ'!G40="N",'ОТВЕТЫ УЧАЩИХСЯ'!G40,0)),"")),"")</f>
        <v>1</v>
      </c>
      <c r="I40" s="151">
        <f>IF(AND(OR($C40&lt;&gt;"",$D40&lt;&gt;""),$A40=1,$AA$6="ДА"),(IF(A40=1,IF(OR(AND(E40=1,'ОТВЕТЫ УЧАЩИХСЯ'!H40=2),AND(E40=2,'ОТВЕТЫ УЧАЩИХСЯ'!H40=1),AND(E40=3,'ОТВЕТЫ УЧАЩИХСЯ'!H40=3),AND(E40=4,'ОТВЕТЫ УЧАЩИХСЯ'!H40=4)),1,IF('ОТВЕТЫ УЧАЩИХСЯ'!H40="N",'ОТВЕТЫ УЧАЩИХСЯ'!H40,0)),"")),"")</f>
        <v>1</v>
      </c>
      <c r="J40" s="151">
        <f>IF(AND(OR($C40&lt;&gt;"",$D40&lt;&gt;""),$A40=1,$AA$6="ДА"),(IF(A40=1,IF(OR(AND(E40=1,'ОТВЕТЫ УЧАЩИХСЯ'!I40=3),AND(E40=2,'ОТВЕТЫ УЧАЩИХСЯ'!I40=4),AND(E40=3,'ОТВЕТЫ УЧАЩИХСЯ'!I40=3),AND(E40=4,'ОТВЕТЫ УЧАЩИХСЯ'!I40=1)),1,IF('ОТВЕТЫ УЧАЩИХСЯ'!I40="N",'ОТВЕТЫ УЧАЩИХСЯ'!I40,0)),"")),"")</f>
        <v>1</v>
      </c>
      <c r="K40" s="151">
        <f>IF(AND(OR($C40&lt;&gt;"",$D40&lt;&gt;""),$A40=1,$AA$6="ДА"),(IF(A40=1,IF(OR(AND(E40=1,'ОТВЕТЫ УЧАЩИХСЯ'!J40=3),AND(E40=2,'ОТВЕТЫ УЧАЩИХСЯ'!J40=3),AND(E40=3,'ОТВЕТЫ УЧАЩИХСЯ'!J40=2),AND(E40=4,'ОТВЕТЫ УЧАЩИХСЯ'!J40=4)),1,IF('ОТВЕТЫ УЧАЩИХСЯ'!J40="N",'ОТВЕТЫ УЧАЩИХСЯ'!J40,0)),"")),"")</f>
        <v>0</v>
      </c>
      <c r="L40" s="151">
        <f>IF(AND(OR($C40&lt;&gt;"",$D40&lt;&gt;""),$A40=1,$AA$6="ДА"),(IF(A40=1,IF(OR(AND(E40=1,'ОТВЕТЫ УЧАЩИХСЯ'!K40=2),AND(E40=2,'ОТВЕТЫ УЧАЩИХСЯ'!K40=4),AND(E40=3,'ОТВЕТЫ УЧАЩИХСЯ'!K40=1),AND(E40=4,'ОТВЕТЫ УЧАЩИХСЯ'!K40=3)),2,IF('ОТВЕТЫ УЧАЩИХСЯ'!K40="N",'ОТВЕТЫ УЧАЩИХСЯ'!K40,0)),"")),"")</f>
        <v>0</v>
      </c>
      <c r="M40" s="151">
        <f>IF(AND(OR($C40&lt;&gt;"",$D40&lt;&gt;""),$A40=1,$AA$6="ДА"),(IF(A40=1,IF(OR(AND(E40=1,'ОТВЕТЫ УЧАЩИХСЯ'!L40=4),AND(E40=2,'ОТВЕТЫ УЧАЩИХСЯ'!L40=1),AND(E40=3,'ОТВЕТЫ УЧАЩИХСЯ'!L40=4),AND(E40=4,'ОТВЕТЫ УЧАЩИХСЯ'!L40=2)),2,IF('ОТВЕТЫ УЧАЩИХСЯ'!L40="N",'ОТВЕТЫ УЧАЩИХСЯ'!L40,0)),"")),"")</f>
        <v>2</v>
      </c>
      <c r="N40" s="151">
        <f>IF(AND(OR($C40&lt;&gt;"",$D40&lt;&gt;""),$A40=1,$AA$6="ДА"),(IF(A40=1,IF(OR(AND(E40=1,'ОТВЕТЫ УЧАЩИХСЯ'!M40=1),AND(E40=2,'ОТВЕТЫ УЧАЩИХСЯ'!M40=3),AND(E40=3,'ОТВЕТЫ УЧАЩИХСЯ'!M40=3),AND(E40=4,'ОТВЕТЫ УЧАЩИХСЯ'!M40=1)),2,IF('ОТВЕТЫ УЧАЩИХСЯ'!M40="N",'ОТВЕТЫ УЧАЩИХСЯ'!M40,0)),"")),"")</f>
        <v>0</v>
      </c>
      <c r="O40" s="151">
        <f>IF(AND(OR($C40&lt;&gt;"",$D40&lt;&gt;""),$A40=1,$AA$6="ДА"),(IF(A40=1,IF(OR(AND(E40=1,'ОТВЕТЫ УЧАЩИХСЯ'!N40=2),AND(E40=2,'ОТВЕТЫ УЧАЩИХСЯ'!N40=1),AND(E40=3,'ОТВЕТЫ УЧАЩИХСЯ'!N40=3),AND(E40=4,'ОТВЕТЫ УЧАЩИХСЯ'!N40=3)),1,IF('ОТВЕТЫ УЧАЩИХСЯ'!N40="N",'ОТВЕТЫ УЧАЩИХСЯ'!N40,0)),"")),"")</f>
        <v>0</v>
      </c>
      <c r="P40" s="151">
        <f>IF(AND(OR($C40&lt;&gt;"",$D40&lt;&gt;""),$A40=1,$AA$6="ДА"),(IF(A40=1,IF(OR(AND(E40=1,'ОТВЕТЫ УЧАЩИХСЯ'!O40=3),AND(E40=2,'ОТВЕТЫ УЧАЩИХСЯ'!O40=4),AND(E40=3,'ОТВЕТЫ УЧАЩИХСЯ'!O40=2),AND(E40=4,'ОТВЕТЫ УЧАЩИХСЯ'!O40=2)),1,IF('ОТВЕТЫ УЧАЩИХСЯ'!O40="N",'ОТВЕТЫ УЧАЩИХСЯ'!O40,0)),"")),"")</f>
        <v>0</v>
      </c>
      <c r="Q40" s="151">
        <f>IF(AND(OR($C40&lt;&gt;"",$D40&lt;&gt;""),$A40=1,$AA$6="ДА"),(IF(A40=1,IF(OR(AND(E40=1,'ОТВЕТЫ УЧАЩИХСЯ'!P40=4),AND(E40=2,'ОТВЕТЫ УЧАЩИХСЯ'!P40=2),AND(E40=3,'ОТВЕТЫ УЧАЩИХСЯ'!P40=3),AND(E40=4,'ОТВЕТЫ УЧАЩИХСЯ'!P40=2)),2,IF('ОТВЕТЫ УЧАЩИХСЯ'!P40="N",'ОТВЕТЫ УЧАЩИХСЯ'!P40,0)),"")),"")</f>
        <v>0</v>
      </c>
      <c r="R40" s="151">
        <f>IF(AND(OR($C40&lt;&gt;"",$D40&lt;&gt;""),$A40=1,$AA$6="ДА"),(IF(A40=1,IF(OR(AND(E40=1,'ОТВЕТЫ УЧАЩИХСЯ'!Q40=4),AND(E40=2,'ОТВЕТЫ УЧАЩИХСЯ'!Q40=1),AND(E40=3,'ОТВЕТЫ УЧАЩИХСЯ'!Q40=3),AND(E40=4,'ОТВЕТЫ УЧАЩИХСЯ'!Q40=4)),1,IF('ОТВЕТЫ УЧАЩИХСЯ'!Q40="N",'ОТВЕТЫ УЧАЩИХСЯ'!Q40,0)),"")),"")</f>
        <v>1</v>
      </c>
      <c r="S40" s="151">
        <f>IF(AND(OR($C40&lt;&gt;"",$D40&lt;&gt;""),$A40=1,$AA$6="ДА"),(IF(A40=1,IF(OR(AND(E40=1,'ОТВЕТЫ УЧАЩИХСЯ'!R40=3),AND(E40=2,'ОТВЕТЫ УЧАЩИХСЯ'!R40=4),AND(E40=3,'ОТВЕТЫ УЧАЩИХСЯ'!R40=2),AND(E40=4,'ОТВЕТЫ УЧАЩИХСЯ'!R40=1)),1,IF('ОТВЕТЫ УЧАЩИХСЯ'!R40="N",'ОТВЕТЫ УЧАЩИХСЯ'!R40,0)),"")),"")</f>
        <v>1</v>
      </c>
      <c r="T40" s="151">
        <f>IF(AND(OR($C40&lt;&gt;"",$D40&lt;&gt;""),$A40=1,$AA$6="ДА"),(IF(A40=1,IF(OR(AND(E40=1,'ОТВЕТЫ УЧАЩИХСЯ'!S40=1),AND(E40=2,'ОТВЕТЫ УЧАЩИХСЯ'!S40=2),AND(E40=3,'ОТВЕТЫ УЧАЩИХСЯ'!S40=2),AND(E40=4,'ОТВЕТЫ УЧАЩИХСЯ'!S40=3)),1,IF('ОТВЕТЫ УЧАЩИХСЯ'!S40="N",'ОТВЕТЫ УЧАЩИХСЯ'!S40,0)),"")),"")</f>
        <v>0</v>
      </c>
      <c r="U40" s="99">
        <f t="shared" si="5"/>
        <v>2</v>
      </c>
      <c r="V40" s="99">
        <f>IF(AND(OR($C40&lt;&gt;"",$D40&lt;&gt;""),$A40=1,$AA$6="ДА"),(IF(A40=1,IF(OR(AND(E40=1,'ОТВЕТЫ УЧАЩИХСЯ'!T40=274),AND(E40=2,'ОТВЕТЫ УЧАЩИХСЯ'!T40=3),AND(E40=3,'ОТВЕТЫ УЧАЩИХСЯ'!T40=778),AND(E40=4,'ОТВЕТЫ УЧАЩИХСЯ'!T40=40)),1,IF('ОТВЕТЫ УЧАЩИХСЯ'!T40="N",'ОТВЕТЫ УЧАЩИХСЯ'!T40,0)),"")),"")</f>
        <v>1</v>
      </c>
      <c r="W40" s="99">
        <f>IF(AND(OR($C40&lt;&gt;"",$D40&lt;&gt;""),$A40=1,$AA$6="ДА"),(IF(A40=1,IF(OR(AND(E40=1,'ОТВЕТЫ УЧАЩИХСЯ'!U40=49),AND(E40=2,'ОТВЕТЫ УЧАЩИХСЯ'!U40=2),AND(E40=3,'ОТВЕТЫ УЧАЩИХСЯ'!U40="САТУРН,ЮПИТЕР"),AND(E40=4,'ОТВЕТЫ УЧАЩИХСЯ'!U40=8)),1,IF('ОТВЕТЫ УЧАЩИХСЯ'!U40="N",'ОТВЕТЫ УЧАЩИХСЯ'!U40,0)),"")),"")</f>
        <v>1</v>
      </c>
      <c r="X40" s="99">
        <f>IF(AND(OR($C40&lt;&gt;"",$D40&lt;&gt;""),$A40=1,$AA$6="ДА"),(IF(A40=1,IF(OR(AND(E40=1,'ОТВЕТЫ УЧАЩИХСЯ'!V40=20),AND(E40=2,'ОТВЕТЫ УЧАЩИХСЯ'!V40=20),AND(E40=3,'ОТВЕТЫ УЧАЩИХСЯ'!V40=22),AND(E40=4,'ОТВЕТЫ УЧАЩИХСЯ'!V40=85)),2,IF('ОТВЕТЫ УЧАЩИХСЯ'!V40="N",'ОТВЕТЫ УЧАЩИХСЯ'!V40,0)),"")),"")</f>
        <v>0</v>
      </c>
      <c r="Y40" s="99" t="str">
        <f>IF(AND(OR($C40&lt;&gt;"",$D40&lt;&gt;""),$A40=1,$AA$6="ДА"),IF((ISBLANK($D40)),"",IF($A$20=1,'ОТВЕТЫ УЧАЩИХСЯ'!W40,"")),"")</f>
        <v/>
      </c>
      <c r="Z40" s="332">
        <f t="shared" si="6"/>
        <v>10</v>
      </c>
      <c r="AA40" s="309">
        <f t="shared" si="7"/>
        <v>0.4</v>
      </c>
      <c r="AB40" s="310">
        <f t="shared" si="8"/>
        <v>6</v>
      </c>
      <c r="AC40" s="311">
        <f t="shared" si="9"/>
        <v>54.54545454545454</v>
      </c>
      <c r="AD40" s="310">
        <f t="shared" si="10"/>
        <v>4</v>
      </c>
      <c r="AE40" s="311">
        <f t="shared" si="11"/>
        <v>28.571428571428569</v>
      </c>
      <c r="AF40" s="312" t="str">
        <f t="shared" si="12"/>
        <v>НИЗКИЙ</v>
      </c>
      <c r="AG40" s="273">
        <f t="shared" si="13"/>
        <v>15.625</v>
      </c>
      <c r="AH40" s="210">
        <f t="shared" si="14"/>
        <v>0.625</v>
      </c>
      <c r="AI40" s="374">
        <f t="shared" si="15"/>
        <v>15.625</v>
      </c>
      <c r="AJ40" s="375">
        <f t="shared" si="4"/>
        <v>74.621212121212125</v>
      </c>
      <c r="AK40" s="6"/>
      <c r="AL40" s="6"/>
      <c r="AM40" s="6"/>
      <c r="AN40" s="6"/>
      <c r="AO40" s="6"/>
      <c r="AP40" s="6"/>
    </row>
    <row r="41" spans="1:42" ht="12.75" customHeight="1" thickBot="1">
      <c r="A41" s="12">
        <f>IF('СПИСОК КЛАССА'!J41&gt;0,1,0)</f>
        <v>1</v>
      </c>
      <c r="B41" s="97">
        <v>22</v>
      </c>
      <c r="C41" s="98">
        <f>IF(NOT(ISBLANK('СПИСОК КЛАССА'!C41)),'СПИСОК КЛАССА'!C41,"")</f>
        <v>22</v>
      </c>
      <c r="D41" s="131" t="str">
        <f>IF(NOT(ISBLANK('СПИСОК КЛАССА'!D41)),IF($A41=1,'СПИСОК КЛАССА'!D41, "УЧЕНИК НЕ ВЫПОЛНЯЛ РАБОТУ"),"")</f>
        <v/>
      </c>
      <c r="E41" s="149">
        <f>IF($C41&lt;&gt;"",'СПИСОК КЛАССА'!J41,"")</f>
        <v>1</v>
      </c>
      <c r="F41" s="99">
        <f>IF(AND(OR($C41&lt;&gt;"",$D41&lt;&gt;""),$A41=1,$AA$6="ДА"),(IF(A41=1,IF(OR(AND(E41=1,'ОТВЕТЫ УЧАЩИХСЯ'!E41=1),AND(E41=2,'ОТВЕТЫ УЧАЩИХСЯ'!E41=2),AND(E41=3,'ОТВЕТЫ УЧАЩИХСЯ'!E41=4),AND(E41=4,'ОТВЕТЫ УЧАЩИХСЯ'!E41=2)),1,IF('ОТВЕТЫ УЧАЩИХСЯ'!E41="N",'ОТВЕТЫ УЧАЩИХСЯ'!E41,0)),"")),"")</f>
        <v>1</v>
      </c>
      <c r="G41" s="151">
        <f>IF(AND(OR($C41&lt;&gt;"",$D41&lt;&gt;""),$A41=1,$AA$6="ДА"),(IF(A41=1,IF(OR(AND(E41=1,'ОТВЕТЫ УЧАЩИХСЯ'!F41=4),AND(E41=2,'ОТВЕТЫ УЧАЩИХСЯ'!F41=1),AND(E41=3,'ОТВЕТЫ УЧАЩИХСЯ'!F41=2),AND(E41=4,'ОТВЕТЫ УЧАЩИХСЯ'!F41=3)),1,IF('ОТВЕТЫ УЧАЩИХСЯ'!F41="N",'ОТВЕТЫ УЧАЩИХСЯ'!F41,0)),"")),"")</f>
        <v>0</v>
      </c>
      <c r="H41" s="151">
        <f>IF(AND(OR($C41&lt;&gt;"",$D41&lt;&gt;""),$A41=1,$AA$6="ДА"),(IF(A41=1,IF(OR(AND(E41=1,'ОТВЕТЫ УЧАЩИХСЯ'!G41=4),AND(E41=2,'ОТВЕТЫ УЧАЩИХСЯ'!G41=3),AND(E41=3,'ОТВЕТЫ УЧАЩИХСЯ'!G41=4),AND(E41=4,'ОТВЕТЫ УЧАЩИХСЯ'!G41=4)),1,IF('ОТВЕТЫ УЧАЩИХСЯ'!G41="N",'ОТВЕТЫ УЧАЩИХСЯ'!G41,0)),"")),"")</f>
        <v>1</v>
      </c>
      <c r="I41" s="151">
        <f>IF(AND(OR($C41&lt;&gt;"",$D41&lt;&gt;""),$A41=1,$AA$6="ДА"),(IF(A41=1,IF(OR(AND(E41=1,'ОТВЕТЫ УЧАЩИХСЯ'!H41=2),AND(E41=2,'ОТВЕТЫ УЧАЩИХСЯ'!H41=1),AND(E41=3,'ОТВЕТЫ УЧАЩИХСЯ'!H41=3),AND(E41=4,'ОТВЕТЫ УЧАЩИХСЯ'!H41=4)),1,IF('ОТВЕТЫ УЧАЩИХСЯ'!H41="N",'ОТВЕТЫ УЧАЩИХСЯ'!H41,0)),"")),"")</f>
        <v>0</v>
      </c>
      <c r="J41" s="151">
        <f>IF(AND(OR($C41&lt;&gt;"",$D41&lt;&gt;""),$A41=1,$AA$6="ДА"),(IF(A41=1,IF(OR(AND(E41=1,'ОТВЕТЫ УЧАЩИХСЯ'!I41=3),AND(E41=2,'ОТВЕТЫ УЧАЩИХСЯ'!I41=4),AND(E41=3,'ОТВЕТЫ УЧАЩИХСЯ'!I41=3),AND(E41=4,'ОТВЕТЫ УЧАЩИХСЯ'!I41=1)),1,IF('ОТВЕТЫ УЧАЩИХСЯ'!I41="N",'ОТВЕТЫ УЧАЩИХСЯ'!I41,0)),"")),"")</f>
        <v>1</v>
      </c>
      <c r="K41" s="151">
        <f>IF(AND(OR($C41&lt;&gt;"",$D41&lt;&gt;""),$A41=1,$AA$6="ДА"),(IF(A41=1,IF(OR(AND(E41=1,'ОТВЕТЫ УЧАЩИХСЯ'!J41=3),AND(E41=2,'ОТВЕТЫ УЧАЩИХСЯ'!J41=3),AND(E41=3,'ОТВЕТЫ УЧАЩИХСЯ'!J41=2),AND(E41=4,'ОТВЕТЫ УЧАЩИХСЯ'!J41=4)),1,IF('ОТВЕТЫ УЧАЩИХСЯ'!J41="N",'ОТВЕТЫ УЧАЩИХСЯ'!J41,0)),"")),"")</f>
        <v>1</v>
      </c>
      <c r="L41" s="151">
        <f>IF(AND(OR($C41&lt;&gt;"",$D41&lt;&gt;""),$A41=1,$AA$6="ДА"),(IF(A41=1,IF(OR(AND(E41=1,'ОТВЕТЫ УЧАЩИХСЯ'!K41=2),AND(E41=2,'ОТВЕТЫ УЧАЩИХСЯ'!K41=4),AND(E41=3,'ОТВЕТЫ УЧАЩИХСЯ'!K41=1),AND(E41=4,'ОТВЕТЫ УЧАЩИХСЯ'!K41=3)),2,IF('ОТВЕТЫ УЧАЩИХСЯ'!K41="N",'ОТВЕТЫ УЧАЩИХСЯ'!K41,0)),"")),"")</f>
        <v>0</v>
      </c>
      <c r="M41" s="151">
        <f>IF(AND(OR($C41&lt;&gt;"",$D41&lt;&gt;""),$A41=1,$AA$6="ДА"),(IF(A41=1,IF(OR(AND(E41=1,'ОТВЕТЫ УЧАЩИХСЯ'!L41=4),AND(E41=2,'ОТВЕТЫ УЧАЩИХСЯ'!L41=1),AND(E41=3,'ОТВЕТЫ УЧАЩИХСЯ'!L41=4),AND(E41=4,'ОТВЕТЫ УЧАЩИХСЯ'!L41=2)),2,IF('ОТВЕТЫ УЧАЩИХСЯ'!L41="N",'ОТВЕТЫ УЧАЩИХСЯ'!L41,0)),"")),"")</f>
        <v>0</v>
      </c>
      <c r="N41" s="151">
        <f>IF(AND(OR($C41&lt;&gt;"",$D41&lt;&gt;""),$A41=1,$AA$6="ДА"),(IF(A41=1,IF(OR(AND(E41=1,'ОТВЕТЫ УЧАЩИХСЯ'!M41=1),AND(E41=2,'ОТВЕТЫ УЧАЩИХСЯ'!M41=3),AND(E41=3,'ОТВЕТЫ УЧАЩИХСЯ'!M41=3),AND(E41=4,'ОТВЕТЫ УЧАЩИХСЯ'!M41=1)),2,IF('ОТВЕТЫ УЧАЩИХСЯ'!M41="N",'ОТВЕТЫ УЧАЩИХСЯ'!M41,0)),"")),"")</f>
        <v>0</v>
      </c>
      <c r="O41" s="151">
        <f>IF(AND(OR($C41&lt;&gt;"",$D41&lt;&gt;""),$A41=1,$AA$6="ДА"),(IF(A41=1,IF(OR(AND(E41=1,'ОТВЕТЫ УЧАЩИХСЯ'!N41=2),AND(E41=2,'ОТВЕТЫ УЧАЩИХСЯ'!N41=1),AND(E41=3,'ОТВЕТЫ УЧАЩИХСЯ'!N41=3),AND(E41=4,'ОТВЕТЫ УЧАЩИХСЯ'!N41=3)),1,IF('ОТВЕТЫ УЧАЩИХСЯ'!N41="N",'ОТВЕТЫ УЧАЩИХСЯ'!N41,0)),"")),"")</f>
        <v>0</v>
      </c>
      <c r="P41" s="151">
        <f>IF(AND(OR($C41&lt;&gt;"",$D41&lt;&gt;""),$A41=1,$AA$6="ДА"),(IF(A41=1,IF(OR(AND(E41=1,'ОТВЕТЫ УЧАЩИХСЯ'!O41=3),AND(E41=2,'ОТВЕТЫ УЧАЩИХСЯ'!O41=4),AND(E41=3,'ОТВЕТЫ УЧАЩИХСЯ'!O41=2),AND(E41=4,'ОТВЕТЫ УЧАЩИХСЯ'!O41=2)),1,IF('ОТВЕТЫ УЧАЩИХСЯ'!O41="N",'ОТВЕТЫ УЧАЩИХСЯ'!O41,0)),"")),"")</f>
        <v>0</v>
      </c>
      <c r="Q41" s="151">
        <f>IF(AND(OR($C41&lt;&gt;"",$D41&lt;&gt;""),$A41=1,$AA$6="ДА"),(IF(A41=1,IF(OR(AND(E41=1,'ОТВЕТЫ УЧАЩИХСЯ'!P41=4),AND(E41=2,'ОТВЕТЫ УЧАЩИХСЯ'!P41=2),AND(E41=3,'ОТВЕТЫ УЧАЩИХСЯ'!P41=3),AND(E41=4,'ОТВЕТЫ УЧАЩИХСЯ'!P41=2)),2,IF('ОТВЕТЫ УЧАЩИХСЯ'!P41="N",'ОТВЕТЫ УЧАЩИХСЯ'!P41,0)),"")),"")</f>
        <v>2</v>
      </c>
      <c r="R41" s="151">
        <f>IF(AND(OR($C41&lt;&gt;"",$D41&lt;&gt;""),$A41=1,$AA$6="ДА"),(IF(A41=1,IF(OR(AND(E41=1,'ОТВЕТЫ УЧАЩИХСЯ'!Q41=4),AND(E41=2,'ОТВЕТЫ УЧАЩИХСЯ'!Q41=1),AND(E41=3,'ОТВЕТЫ УЧАЩИХСЯ'!Q41=3),AND(E41=4,'ОТВЕТЫ УЧАЩИХСЯ'!Q41=4)),1,IF('ОТВЕТЫ УЧАЩИХСЯ'!Q41="N",'ОТВЕТЫ УЧАЩИХСЯ'!Q41,0)),"")),"")</f>
        <v>1</v>
      </c>
      <c r="S41" s="151">
        <f>IF(AND(OR($C41&lt;&gt;"",$D41&lt;&gt;""),$A41=1,$AA$6="ДА"),(IF(A41=1,IF(OR(AND(E41=1,'ОТВЕТЫ УЧАЩИХСЯ'!R41=3),AND(E41=2,'ОТВЕТЫ УЧАЩИХСЯ'!R41=4),AND(E41=3,'ОТВЕТЫ УЧАЩИХСЯ'!R41=2),AND(E41=4,'ОТВЕТЫ УЧАЩИХСЯ'!R41=1)),1,IF('ОТВЕТЫ УЧАЩИХСЯ'!R41="N",'ОТВЕТЫ УЧАЩИХСЯ'!R41,0)),"")),"")</f>
        <v>0</v>
      </c>
      <c r="T41" s="151">
        <f>IF(AND(OR($C41&lt;&gt;"",$D41&lt;&gt;""),$A41=1,$AA$6="ДА"),(IF(A41=1,IF(OR(AND(E41=1,'ОТВЕТЫ УЧАЩИХСЯ'!S41=1),AND(E41=2,'ОТВЕТЫ УЧАЩИХСЯ'!S41=2),AND(E41=3,'ОТВЕТЫ УЧАЩИХСЯ'!S41=2),AND(E41=4,'ОТВЕТЫ УЧАЩИХСЯ'!S41=3)),1,IF('ОТВЕТЫ УЧАЩИХСЯ'!S41="N",'ОТВЕТЫ УЧАЩИХСЯ'!S41,0)),"")),"")</f>
        <v>1</v>
      </c>
      <c r="U41" s="99">
        <f t="shared" si="5"/>
        <v>1</v>
      </c>
      <c r="V41" s="99">
        <f>IF(AND(OR($C41&lt;&gt;"",$D41&lt;&gt;""),$A41=1,$AA$6="ДА"),(IF(A41=1,IF(OR(AND(E41=1,'ОТВЕТЫ УЧАЩИХСЯ'!T41=274),AND(E41=2,'ОТВЕТЫ УЧАЩИХСЯ'!T41=3),AND(E41=3,'ОТВЕТЫ УЧАЩИХСЯ'!T41=778),AND(E41=4,'ОТВЕТЫ УЧАЩИХСЯ'!T41=40)),1,IF('ОТВЕТЫ УЧАЩИХСЯ'!T41="N",'ОТВЕТЫ УЧАЩИХСЯ'!T41,0)),"")),"")</f>
        <v>0</v>
      </c>
      <c r="W41" s="99">
        <f>IF(AND(OR($C41&lt;&gt;"",$D41&lt;&gt;""),$A41=1,$AA$6="ДА"),(IF(A41=1,IF(OR(AND(E41=1,'ОТВЕТЫ УЧАЩИХСЯ'!U41=49),AND(E41=2,'ОТВЕТЫ УЧАЩИХСЯ'!U41=2),AND(E41=3,'ОТВЕТЫ УЧАЩИХСЯ'!U41="САТУРН,ЮПИТЕР"),AND(E41=4,'ОТВЕТЫ УЧАЩИХСЯ'!U41=8)),1,IF('ОТВЕТЫ УЧАЩИХСЯ'!U41="N",'ОТВЕТЫ УЧАЩИХСЯ'!U41,0)),"")),"")</f>
        <v>1</v>
      </c>
      <c r="X41" s="99">
        <f>IF(AND(OR($C41&lt;&gt;"",$D41&lt;&gt;""),$A41=1,$AA$6="ДА"),(IF(A41=1,IF(OR(AND(E41=1,'ОТВЕТЫ УЧАЩИХСЯ'!V41=20),AND(E41=2,'ОТВЕТЫ УЧАЩИХСЯ'!V41=20),AND(E41=3,'ОТВЕТЫ УЧАЩИХСЯ'!V41=22),AND(E41=4,'ОТВЕТЫ УЧАЩИХСЯ'!V41=85)),2,IF('ОТВЕТЫ УЧАЩИХСЯ'!V41="N",'ОТВЕТЫ УЧАЩИХСЯ'!V41,0)),"")),"")</f>
        <v>0</v>
      </c>
      <c r="Y41" s="99" t="str">
        <f>IF(AND(OR($C41&lt;&gt;"",$D41&lt;&gt;""),$A41=1,$AA$6="ДА"),IF((ISBLANK($D41)),"",IF($A$20=1,'ОТВЕТЫ УЧАЩИХСЯ'!W41,"")),"")</f>
        <v/>
      </c>
      <c r="Z41" s="332">
        <f t="shared" si="6"/>
        <v>9</v>
      </c>
      <c r="AA41" s="309">
        <f t="shared" si="7"/>
        <v>0.36</v>
      </c>
      <c r="AB41" s="310">
        <f t="shared" si="8"/>
        <v>6</v>
      </c>
      <c r="AC41" s="311">
        <f t="shared" si="9"/>
        <v>54.54545454545454</v>
      </c>
      <c r="AD41" s="310">
        <f t="shared" si="10"/>
        <v>3</v>
      </c>
      <c r="AE41" s="311">
        <f t="shared" si="11"/>
        <v>21.428571428571427</v>
      </c>
      <c r="AF41" s="312" t="str">
        <f t="shared" si="12"/>
        <v>НИЗКИЙ</v>
      </c>
      <c r="AG41" s="273">
        <f t="shared" si="13"/>
        <v>15.625</v>
      </c>
      <c r="AH41" s="210">
        <f t="shared" si="14"/>
        <v>0.625</v>
      </c>
      <c r="AI41" s="374">
        <f t="shared" si="15"/>
        <v>15.625</v>
      </c>
      <c r="AJ41" s="375">
        <f t="shared" si="4"/>
        <v>74.621212121212125</v>
      </c>
      <c r="AK41" s="6"/>
      <c r="AL41" s="6"/>
      <c r="AM41" s="6"/>
      <c r="AN41" s="6"/>
      <c r="AO41" s="6"/>
      <c r="AP41" s="6"/>
    </row>
    <row r="42" spans="1:42" ht="12.75" customHeight="1" thickBot="1">
      <c r="A42" s="12">
        <f>IF('СПИСОК КЛАССА'!J42&gt;0,1,0)</f>
        <v>1</v>
      </c>
      <c r="B42" s="97">
        <v>23</v>
      </c>
      <c r="C42" s="98">
        <f>IF(NOT(ISBLANK('СПИСОК КЛАССА'!C42)),'СПИСОК КЛАССА'!C42,"")</f>
        <v>23</v>
      </c>
      <c r="D42" s="131" t="str">
        <f>IF(NOT(ISBLANK('СПИСОК КЛАССА'!D42)),IF($A42=1,'СПИСОК КЛАССА'!D42, "УЧЕНИК НЕ ВЫПОЛНЯЛ РАБОТУ"),"")</f>
        <v/>
      </c>
      <c r="E42" s="149">
        <f>IF($C42&lt;&gt;"",'СПИСОК КЛАССА'!J42,"")</f>
        <v>1</v>
      </c>
      <c r="F42" s="99">
        <f>IF(AND(OR($C42&lt;&gt;"",$D42&lt;&gt;""),$A42=1,$AA$6="ДА"),(IF(A42=1,IF(OR(AND(E42=1,'ОТВЕТЫ УЧАЩИХСЯ'!E42=1),AND(E42=2,'ОТВЕТЫ УЧАЩИХСЯ'!E42=2),AND(E42=3,'ОТВЕТЫ УЧАЩИХСЯ'!E42=4),AND(E42=4,'ОТВЕТЫ УЧАЩИХСЯ'!E42=2)),1,IF('ОТВЕТЫ УЧАЩИХСЯ'!E42="N",'ОТВЕТЫ УЧАЩИХСЯ'!E42,0)),"")),"")</f>
        <v>1</v>
      </c>
      <c r="G42" s="151">
        <f>IF(AND(OR($C42&lt;&gt;"",$D42&lt;&gt;""),$A42=1,$AA$6="ДА"),(IF(A42=1,IF(OR(AND(E42=1,'ОТВЕТЫ УЧАЩИХСЯ'!F42=4),AND(E42=2,'ОТВЕТЫ УЧАЩИХСЯ'!F42=1),AND(E42=3,'ОТВЕТЫ УЧАЩИХСЯ'!F42=2),AND(E42=4,'ОТВЕТЫ УЧАЩИХСЯ'!F42=3)),1,IF('ОТВЕТЫ УЧАЩИХСЯ'!F42="N",'ОТВЕТЫ УЧАЩИХСЯ'!F42,0)),"")),"")</f>
        <v>1</v>
      </c>
      <c r="H42" s="151">
        <f>IF(AND(OR($C42&lt;&gt;"",$D42&lt;&gt;""),$A42=1,$AA$6="ДА"),(IF(A42=1,IF(OR(AND(E42=1,'ОТВЕТЫ УЧАЩИХСЯ'!G42=4),AND(E42=2,'ОТВЕТЫ УЧАЩИХСЯ'!G42=3),AND(E42=3,'ОТВЕТЫ УЧАЩИХСЯ'!G42=4),AND(E42=4,'ОТВЕТЫ УЧАЩИХСЯ'!G42=4)),1,IF('ОТВЕТЫ УЧАЩИХСЯ'!G42="N",'ОТВЕТЫ УЧАЩИХСЯ'!G42,0)),"")),"")</f>
        <v>1</v>
      </c>
      <c r="I42" s="151">
        <f>IF(AND(OR($C42&lt;&gt;"",$D42&lt;&gt;""),$A42=1,$AA$6="ДА"),(IF(A42=1,IF(OR(AND(E42=1,'ОТВЕТЫ УЧАЩИХСЯ'!H42=2),AND(E42=2,'ОТВЕТЫ УЧАЩИХСЯ'!H42=1),AND(E42=3,'ОТВЕТЫ УЧАЩИХСЯ'!H42=3),AND(E42=4,'ОТВЕТЫ УЧАЩИХСЯ'!H42=4)),1,IF('ОТВЕТЫ УЧАЩИХСЯ'!H42="N",'ОТВЕТЫ УЧАЩИХСЯ'!H42,0)),"")),"")</f>
        <v>0</v>
      </c>
      <c r="J42" s="151">
        <f>IF(AND(OR($C42&lt;&gt;"",$D42&lt;&gt;""),$A42=1,$AA$6="ДА"),(IF(A42=1,IF(OR(AND(E42=1,'ОТВЕТЫ УЧАЩИХСЯ'!I42=3),AND(E42=2,'ОТВЕТЫ УЧАЩИХСЯ'!I42=4),AND(E42=3,'ОТВЕТЫ УЧАЩИХСЯ'!I42=3),AND(E42=4,'ОТВЕТЫ УЧАЩИХСЯ'!I42=1)),1,IF('ОТВЕТЫ УЧАЩИХСЯ'!I42="N",'ОТВЕТЫ УЧАЩИХСЯ'!I42,0)),"")),"")</f>
        <v>1</v>
      </c>
      <c r="K42" s="151">
        <f>IF(AND(OR($C42&lt;&gt;"",$D42&lt;&gt;""),$A42=1,$AA$6="ДА"),(IF(A42=1,IF(OR(AND(E42=1,'ОТВЕТЫ УЧАЩИХСЯ'!J42=3),AND(E42=2,'ОТВЕТЫ УЧАЩИХСЯ'!J42=3),AND(E42=3,'ОТВЕТЫ УЧАЩИХСЯ'!J42=2),AND(E42=4,'ОТВЕТЫ УЧАЩИХСЯ'!J42=4)),1,IF('ОТВЕТЫ УЧАЩИХСЯ'!J42="N",'ОТВЕТЫ УЧАЩИХСЯ'!J42,0)),"")),"")</f>
        <v>1</v>
      </c>
      <c r="L42" s="151">
        <f>IF(AND(OR($C42&lt;&gt;"",$D42&lt;&gt;""),$A42=1,$AA$6="ДА"),(IF(A42=1,IF(OR(AND(E42=1,'ОТВЕТЫ УЧАЩИХСЯ'!K42=2),AND(E42=2,'ОТВЕТЫ УЧАЩИХСЯ'!K42=4),AND(E42=3,'ОТВЕТЫ УЧАЩИХСЯ'!K42=1),AND(E42=4,'ОТВЕТЫ УЧАЩИХСЯ'!K42=3)),2,IF('ОТВЕТЫ УЧАЩИХСЯ'!K42="N",'ОТВЕТЫ УЧАЩИХСЯ'!K42,0)),"")),"")</f>
        <v>0</v>
      </c>
      <c r="M42" s="151">
        <f>IF(AND(OR($C42&lt;&gt;"",$D42&lt;&gt;""),$A42=1,$AA$6="ДА"),(IF(A42=1,IF(OR(AND(E42=1,'ОТВЕТЫ УЧАЩИХСЯ'!L42=4),AND(E42=2,'ОТВЕТЫ УЧАЩИХСЯ'!L42=1),AND(E42=3,'ОТВЕТЫ УЧАЩИХСЯ'!L42=4),AND(E42=4,'ОТВЕТЫ УЧАЩИХСЯ'!L42=2)),2,IF('ОТВЕТЫ УЧАЩИХСЯ'!L42="N",'ОТВЕТЫ УЧАЩИХСЯ'!L42,0)),"")),"")</f>
        <v>0</v>
      </c>
      <c r="N42" s="151">
        <f>IF(AND(OR($C42&lt;&gt;"",$D42&lt;&gt;""),$A42=1,$AA$6="ДА"),(IF(A42=1,IF(OR(AND(E42=1,'ОТВЕТЫ УЧАЩИХСЯ'!M42=1),AND(E42=2,'ОТВЕТЫ УЧАЩИХСЯ'!M42=3),AND(E42=3,'ОТВЕТЫ УЧАЩИХСЯ'!M42=3),AND(E42=4,'ОТВЕТЫ УЧАЩИХСЯ'!M42=1)),2,IF('ОТВЕТЫ УЧАЩИХСЯ'!M42="N",'ОТВЕТЫ УЧАЩИХСЯ'!M42,0)),"")),"")</f>
        <v>2</v>
      </c>
      <c r="O42" s="151">
        <f>IF(AND(OR($C42&lt;&gt;"",$D42&lt;&gt;""),$A42=1,$AA$6="ДА"),(IF(A42=1,IF(OR(AND(E42=1,'ОТВЕТЫ УЧАЩИХСЯ'!N42=2),AND(E42=2,'ОТВЕТЫ УЧАЩИХСЯ'!N42=1),AND(E42=3,'ОТВЕТЫ УЧАЩИХСЯ'!N42=3),AND(E42=4,'ОТВЕТЫ УЧАЩИХСЯ'!N42=3)),1,IF('ОТВЕТЫ УЧАЩИХСЯ'!N42="N",'ОТВЕТЫ УЧАЩИХСЯ'!N42,0)),"")),"")</f>
        <v>1</v>
      </c>
      <c r="P42" s="151">
        <f>IF(AND(OR($C42&lt;&gt;"",$D42&lt;&gt;""),$A42=1,$AA$6="ДА"),(IF(A42=1,IF(OR(AND(E42=1,'ОТВЕТЫ УЧАЩИХСЯ'!O42=3),AND(E42=2,'ОТВЕТЫ УЧАЩИХСЯ'!O42=4),AND(E42=3,'ОТВЕТЫ УЧАЩИХСЯ'!O42=2),AND(E42=4,'ОТВЕТЫ УЧАЩИХСЯ'!O42=2)),1,IF('ОТВЕТЫ УЧАЩИХСЯ'!O42="N",'ОТВЕТЫ УЧАЩИХСЯ'!O42,0)),"")),"")</f>
        <v>1</v>
      </c>
      <c r="Q42" s="151">
        <f>IF(AND(OR($C42&lt;&gt;"",$D42&lt;&gt;""),$A42=1,$AA$6="ДА"),(IF(A42=1,IF(OR(AND(E42=1,'ОТВЕТЫ УЧАЩИХСЯ'!P42=4),AND(E42=2,'ОТВЕТЫ УЧАЩИХСЯ'!P42=2),AND(E42=3,'ОТВЕТЫ УЧАЩИХСЯ'!P42=3),AND(E42=4,'ОТВЕТЫ УЧАЩИХСЯ'!P42=2)),2,IF('ОТВЕТЫ УЧАЩИХСЯ'!P42="N",'ОТВЕТЫ УЧАЩИХСЯ'!P42,0)),"")),"")</f>
        <v>2</v>
      </c>
      <c r="R42" s="151">
        <f>IF(AND(OR($C42&lt;&gt;"",$D42&lt;&gt;""),$A42=1,$AA$6="ДА"),(IF(A42=1,IF(OR(AND(E42=1,'ОТВЕТЫ УЧАЩИХСЯ'!Q42=4),AND(E42=2,'ОТВЕТЫ УЧАЩИХСЯ'!Q42=1),AND(E42=3,'ОТВЕТЫ УЧАЩИХСЯ'!Q42=3),AND(E42=4,'ОТВЕТЫ УЧАЩИХСЯ'!Q42=4)),1,IF('ОТВЕТЫ УЧАЩИХСЯ'!Q42="N",'ОТВЕТЫ УЧАЩИХСЯ'!Q42,0)),"")),"")</f>
        <v>0</v>
      </c>
      <c r="S42" s="151">
        <f>IF(AND(OR($C42&lt;&gt;"",$D42&lt;&gt;""),$A42=1,$AA$6="ДА"),(IF(A42=1,IF(OR(AND(E42=1,'ОТВЕТЫ УЧАЩИХСЯ'!R42=3),AND(E42=2,'ОТВЕТЫ УЧАЩИХСЯ'!R42=4),AND(E42=3,'ОТВЕТЫ УЧАЩИХСЯ'!R42=2),AND(E42=4,'ОТВЕТЫ УЧАЩИХСЯ'!R42=1)),1,IF('ОТВЕТЫ УЧАЩИХСЯ'!R42="N",'ОТВЕТЫ УЧАЩИХСЯ'!R42,0)),"")),"")</f>
        <v>1</v>
      </c>
      <c r="T42" s="151">
        <f>IF(AND(OR($C42&lt;&gt;"",$D42&lt;&gt;""),$A42=1,$AA$6="ДА"),(IF(A42=1,IF(OR(AND(E42=1,'ОТВЕТЫ УЧАЩИХСЯ'!S42=1),AND(E42=2,'ОТВЕТЫ УЧАЩИХСЯ'!S42=2),AND(E42=3,'ОТВЕТЫ УЧАЩИХСЯ'!S42=2),AND(E42=4,'ОТВЕТЫ УЧАЩИХСЯ'!S42=3)),1,IF('ОТВЕТЫ УЧАЩИХСЯ'!S42="N",'ОТВЕТЫ УЧАЩИХСЯ'!S42,0)),"")),"")</f>
        <v>1</v>
      </c>
      <c r="U42" s="99">
        <f t="shared" si="5"/>
        <v>1</v>
      </c>
      <c r="V42" s="99">
        <f>IF(AND(OR($C42&lt;&gt;"",$D42&lt;&gt;""),$A42=1,$AA$6="ДА"),(IF(A42=1,IF(OR(AND(E42=1,'ОТВЕТЫ УЧАЩИХСЯ'!T42=274),AND(E42=2,'ОТВЕТЫ УЧАЩИХСЯ'!T42=3),AND(E42=3,'ОТВЕТЫ УЧАЩИХСЯ'!T42=778),AND(E42=4,'ОТВЕТЫ УЧАЩИХСЯ'!T42=40)),1,IF('ОТВЕТЫ УЧАЩИХСЯ'!T42="N",'ОТВЕТЫ УЧАЩИХСЯ'!T42,0)),"")),"")</f>
        <v>0</v>
      </c>
      <c r="W42" s="99">
        <f>IF(AND(OR($C42&lt;&gt;"",$D42&lt;&gt;""),$A42=1,$AA$6="ДА"),(IF(A42=1,IF(OR(AND(E42=1,'ОТВЕТЫ УЧАЩИХСЯ'!U42=49),AND(E42=2,'ОТВЕТЫ УЧАЩИХСЯ'!U42=2),AND(E42=3,'ОТВЕТЫ УЧАЩИХСЯ'!U42="САТУРН,ЮПИТЕР"),AND(E42=4,'ОТВЕТЫ УЧАЩИХСЯ'!U42=8)),1,IF('ОТВЕТЫ УЧАЩИХСЯ'!U42="N",'ОТВЕТЫ УЧАЩИХСЯ'!U42,0)),"")),"")</f>
        <v>1</v>
      </c>
      <c r="X42" s="99">
        <f>IF(AND(OR($C42&lt;&gt;"",$D42&lt;&gt;""),$A42=1,$AA$6="ДА"),(IF(A42=1,IF(OR(AND(E42=1,'ОТВЕТЫ УЧАЩИХСЯ'!V42=20),AND(E42=2,'ОТВЕТЫ УЧАЩИХСЯ'!V42=20),AND(E42=3,'ОТВЕТЫ УЧАЩИХСЯ'!V42=22),AND(E42=4,'ОТВЕТЫ УЧАЩИХСЯ'!V42=85)),2,IF('ОТВЕТЫ УЧАЩИХСЯ'!V42="N",'ОТВЕТЫ УЧАЩИХСЯ'!V42,0)),"")),"")</f>
        <v>2</v>
      </c>
      <c r="Y42" s="99" t="str">
        <f>IF(AND(OR($C42&lt;&gt;"",$D42&lt;&gt;""),$A42=1,$AA$6="ДА"),IF((ISBLANK($D42)),"",IF($A$20=1,'ОТВЕТЫ УЧАЩИХСЯ'!W42,"")),"")</f>
        <v/>
      </c>
      <c r="Z42" s="332">
        <f t="shared" si="6"/>
        <v>16</v>
      </c>
      <c r="AA42" s="309">
        <f t="shared" si="7"/>
        <v>0.64</v>
      </c>
      <c r="AB42" s="310">
        <f t="shared" si="8"/>
        <v>9</v>
      </c>
      <c r="AC42" s="311">
        <f t="shared" si="9"/>
        <v>81.818181818181827</v>
      </c>
      <c r="AD42" s="310">
        <f t="shared" si="10"/>
        <v>7</v>
      </c>
      <c r="AE42" s="311">
        <f t="shared" si="11"/>
        <v>50</v>
      </c>
      <c r="AF42" s="312" t="str">
        <f t="shared" si="12"/>
        <v>БАЗОВЫЙ</v>
      </c>
      <c r="AG42" s="273">
        <f t="shared" si="13"/>
        <v>15.625</v>
      </c>
      <c r="AH42" s="210">
        <f t="shared" si="14"/>
        <v>0.625</v>
      </c>
      <c r="AI42" s="374">
        <f t="shared" si="15"/>
        <v>15.625</v>
      </c>
      <c r="AJ42" s="375">
        <f t="shared" si="4"/>
        <v>74.621212121212125</v>
      </c>
      <c r="AK42" s="6"/>
      <c r="AL42" s="6"/>
      <c r="AM42" s="6"/>
      <c r="AN42" s="6"/>
      <c r="AO42" s="6"/>
      <c r="AP42" s="6"/>
    </row>
    <row r="43" spans="1:42" ht="12.75" customHeight="1" thickBot="1">
      <c r="A43" s="12">
        <f>IF('СПИСОК КЛАССА'!J43&gt;0,1,0)</f>
        <v>1</v>
      </c>
      <c r="B43" s="97">
        <v>24</v>
      </c>
      <c r="C43" s="98">
        <f>IF(NOT(ISBLANK('СПИСОК КЛАССА'!C43)),'СПИСОК КЛАССА'!C43,"")</f>
        <v>24</v>
      </c>
      <c r="D43" s="131" t="str">
        <f>IF(NOT(ISBLANK('СПИСОК КЛАССА'!D43)),IF($A43=1,'СПИСОК КЛАССА'!D43, "УЧЕНИК НЕ ВЫПОЛНЯЛ РАБОТУ"),"")</f>
        <v/>
      </c>
      <c r="E43" s="149">
        <f>IF($C43&lt;&gt;"",'СПИСОК КЛАССА'!J43,"")</f>
        <v>2</v>
      </c>
      <c r="F43" s="99">
        <f>IF(AND(OR($C43&lt;&gt;"",$D43&lt;&gt;""),$A43=1,$AA$6="ДА"),(IF(A43=1,IF(OR(AND(E43=1,'ОТВЕТЫ УЧАЩИХСЯ'!E43=1),AND(E43=2,'ОТВЕТЫ УЧАЩИХСЯ'!E43=2),AND(E43=3,'ОТВЕТЫ УЧАЩИХСЯ'!E43=4),AND(E43=4,'ОТВЕТЫ УЧАЩИХСЯ'!E43=2)),1,IF('ОТВЕТЫ УЧАЩИХСЯ'!E43="N",'ОТВЕТЫ УЧАЩИХСЯ'!E43,0)),"")),"")</f>
        <v>1</v>
      </c>
      <c r="G43" s="151">
        <f>IF(AND(OR($C43&lt;&gt;"",$D43&lt;&gt;""),$A43=1,$AA$6="ДА"),(IF(A43=1,IF(OR(AND(E43=1,'ОТВЕТЫ УЧАЩИХСЯ'!F43=4),AND(E43=2,'ОТВЕТЫ УЧАЩИХСЯ'!F43=1),AND(E43=3,'ОТВЕТЫ УЧАЩИХСЯ'!F43=2),AND(E43=4,'ОТВЕТЫ УЧАЩИХСЯ'!F43=3)),1,IF('ОТВЕТЫ УЧАЩИХСЯ'!F43="N",'ОТВЕТЫ УЧАЩИХСЯ'!F43,0)),"")),"")</f>
        <v>1</v>
      </c>
      <c r="H43" s="151">
        <f>IF(AND(OR($C43&lt;&gt;"",$D43&lt;&gt;""),$A43=1,$AA$6="ДА"),(IF(A43=1,IF(OR(AND(E43=1,'ОТВЕТЫ УЧАЩИХСЯ'!G43=4),AND(E43=2,'ОТВЕТЫ УЧАЩИХСЯ'!G43=3),AND(E43=3,'ОТВЕТЫ УЧАЩИХСЯ'!G43=4),AND(E43=4,'ОТВЕТЫ УЧАЩИХСЯ'!G43=4)),1,IF('ОТВЕТЫ УЧАЩИХСЯ'!G43="N",'ОТВЕТЫ УЧАЩИХСЯ'!G43,0)),"")),"")</f>
        <v>1</v>
      </c>
      <c r="I43" s="151">
        <f>IF(AND(OR($C43&lt;&gt;"",$D43&lt;&gt;""),$A43=1,$AA$6="ДА"),(IF(A43=1,IF(OR(AND(E43=1,'ОТВЕТЫ УЧАЩИХСЯ'!H43=2),AND(E43=2,'ОТВЕТЫ УЧАЩИХСЯ'!H43=1),AND(E43=3,'ОТВЕТЫ УЧАЩИХСЯ'!H43=3),AND(E43=4,'ОТВЕТЫ УЧАЩИХСЯ'!H43=4)),1,IF('ОТВЕТЫ УЧАЩИХСЯ'!H43="N",'ОТВЕТЫ УЧАЩИХСЯ'!H43,0)),"")),"")</f>
        <v>1</v>
      </c>
      <c r="J43" s="151">
        <f>IF(AND(OR($C43&lt;&gt;"",$D43&lt;&gt;""),$A43=1,$AA$6="ДА"),(IF(A43=1,IF(OR(AND(E43=1,'ОТВЕТЫ УЧАЩИХСЯ'!I43=3),AND(E43=2,'ОТВЕТЫ УЧАЩИХСЯ'!I43=4),AND(E43=3,'ОТВЕТЫ УЧАЩИХСЯ'!I43=3),AND(E43=4,'ОТВЕТЫ УЧАЩИХСЯ'!I43=1)),1,IF('ОТВЕТЫ УЧАЩИХСЯ'!I43="N",'ОТВЕТЫ УЧАЩИХСЯ'!I43,0)),"")),"")</f>
        <v>0</v>
      </c>
      <c r="K43" s="151">
        <f>IF(AND(OR($C43&lt;&gt;"",$D43&lt;&gt;""),$A43=1,$AA$6="ДА"),(IF(A43=1,IF(OR(AND(E43=1,'ОТВЕТЫ УЧАЩИХСЯ'!J43=3),AND(E43=2,'ОТВЕТЫ УЧАЩИХСЯ'!J43=3),AND(E43=3,'ОТВЕТЫ УЧАЩИХСЯ'!J43=2),AND(E43=4,'ОТВЕТЫ УЧАЩИХСЯ'!J43=4)),1,IF('ОТВЕТЫ УЧАЩИХСЯ'!J43="N",'ОТВЕТЫ УЧАЩИХСЯ'!J43,0)),"")),"")</f>
        <v>1</v>
      </c>
      <c r="L43" s="151">
        <f>IF(AND(OR($C43&lt;&gt;"",$D43&lt;&gt;""),$A43=1,$AA$6="ДА"),(IF(A43=1,IF(OR(AND(E43=1,'ОТВЕТЫ УЧАЩИХСЯ'!K43=2),AND(E43=2,'ОТВЕТЫ УЧАЩИХСЯ'!K43=4),AND(E43=3,'ОТВЕТЫ УЧАЩИХСЯ'!K43=1),AND(E43=4,'ОТВЕТЫ УЧАЩИХСЯ'!K43=3)),2,IF('ОТВЕТЫ УЧАЩИХСЯ'!K43="N",'ОТВЕТЫ УЧАЩИХСЯ'!K43,0)),"")),"")</f>
        <v>2</v>
      </c>
      <c r="M43" s="151">
        <f>IF(AND(OR($C43&lt;&gt;"",$D43&lt;&gt;""),$A43=1,$AA$6="ДА"),(IF(A43=1,IF(OR(AND(E43=1,'ОТВЕТЫ УЧАЩИХСЯ'!L43=4),AND(E43=2,'ОТВЕТЫ УЧАЩИХСЯ'!L43=1),AND(E43=3,'ОТВЕТЫ УЧАЩИХСЯ'!L43=4),AND(E43=4,'ОТВЕТЫ УЧАЩИХСЯ'!L43=2)),2,IF('ОТВЕТЫ УЧАЩИХСЯ'!L43="N",'ОТВЕТЫ УЧАЩИХСЯ'!L43,0)),"")),"")</f>
        <v>0</v>
      </c>
      <c r="N43" s="151">
        <f>IF(AND(OR($C43&lt;&gt;"",$D43&lt;&gt;""),$A43=1,$AA$6="ДА"),(IF(A43=1,IF(OR(AND(E43=1,'ОТВЕТЫ УЧАЩИХСЯ'!M43=1),AND(E43=2,'ОТВЕТЫ УЧАЩИХСЯ'!M43=3),AND(E43=3,'ОТВЕТЫ УЧАЩИХСЯ'!M43=3),AND(E43=4,'ОТВЕТЫ УЧАЩИХСЯ'!M43=1)),2,IF('ОТВЕТЫ УЧАЩИХСЯ'!M43="N",'ОТВЕТЫ УЧАЩИХСЯ'!M43,0)),"")),"")</f>
        <v>0</v>
      </c>
      <c r="O43" s="151">
        <f>IF(AND(OR($C43&lt;&gt;"",$D43&lt;&gt;""),$A43=1,$AA$6="ДА"),(IF(A43=1,IF(OR(AND(E43=1,'ОТВЕТЫ УЧАЩИХСЯ'!N43=2),AND(E43=2,'ОТВЕТЫ УЧАЩИХСЯ'!N43=1),AND(E43=3,'ОТВЕТЫ УЧАЩИХСЯ'!N43=3),AND(E43=4,'ОТВЕТЫ УЧАЩИХСЯ'!N43=3)),1,IF('ОТВЕТЫ УЧАЩИХСЯ'!N43="N",'ОТВЕТЫ УЧАЩИХСЯ'!N43,0)),"")),"")</f>
        <v>1</v>
      </c>
      <c r="P43" s="151">
        <f>IF(AND(OR($C43&lt;&gt;"",$D43&lt;&gt;""),$A43=1,$AA$6="ДА"),(IF(A43=1,IF(OR(AND(E43=1,'ОТВЕТЫ УЧАЩИХСЯ'!O43=3),AND(E43=2,'ОТВЕТЫ УЧАЩИХСЯ'!O43=4),AND(E43=3,'ОТВЕТЫ УЧАЩИХСЯ'!O43=2),AND(E43=4,'ОТВЕТЫ УЧАЩИХСЯ'!O43=2)),1,IF('ОТВЕТЫ УЧАЩИХСЯ'!O43="N",'ОТВЕТЫ УЧАЩИХСЯ'!O43,0)),"")),"")</f>
        <v>0</v>
      </c>
      <c r="Q43" s="151">
        <f>IF(AND(OR($C43&lt;&gt;"",$D43&lt;&gt;""),$A43=1,$AA$6="ДА"),(IF(A43=1,IF(OR(AND(E43=1,'ОТВЕТЫ УЧАЩИХСЯ'!P43=4),AND(E43=2,'ОТВЕТЫ УЧАЩИХСЯ'!P43=2),AND(E43=3,'ОТВЕТЫ УЧАЩИХСЯ'!P43=3),AND(E43=4,'ОТВЕТЫ УЧАЩИХСЯ'!P43=2)),2,IF('ОТВЕТЫ УЧАЩИХСЯ'!P43="N",'ОТВЕТЫ УЧАЩИХСЯ'!P43,0)),"")),"")</f>
        <v>2</v>
      </c>
      <c r="R43" s="151">
        <f>IF(AND(OR($C43&lt;&gt;"",$D43&lt;&gt;""),$A43=1,$AA$6="ДА"),(IF(A43=1,IF(OR(AND(E43=1,'ОТВЕТЫ УЧАЩИХСЯ'!Q43=4),AND(E43=2,'ОТВЕТЫ УЧАЩИХСЯ'!Q43=1),AND(E43=3,'ОТВЕТЫ УЧАЩИХСЯ'!Q43=3),AND(E43=4,'ОТВЕТЫ УЧАЩИХСЯ'!Q43=4)),1,IF('ОТВЕТЫ УЧАЩИХСЯ'!Q43="N",'ОТВЕТЫ УЧАЩИХСЯ'!Q43,0)),"")),"")</f>
        <v>1</v>
      </c>
      <c r="S43" s="151">
        <f>IF(AND(OR($C43&lt;&gt;"",$D43&lt;&gt;""),$A43=1,$AA$6="ДА"),(IF(A43=1,IF(OR(AND(E43=1,'ОТВЕТЫ УЧАЩИХСЯ'!R43=3),AND(E43=2,'ОТВЕТЫ УЧАЩИХСЯ'!R43=4),AND(E43=3,'ОТВЕТЫ УЧАЩИХСЯ'!R43=2),AND(E43=4,'ОТВЕТЫ УЧАЩИХСЯ'!R43=1)),1,IF('ОТВЕТЫ УЧАЩИХСЯ'!R43="N",'ОТВЕТЫ УЧАЩИХСЯ'!R43,0)),"")),"")</f>
        <v>1</v>
      </c>
      <c r="T43" s="151">
        <f>IF(AND(OR($C43&lt;&gt;"",$D43&lt;&gt;""),$A43=1,$AA$6="ДА"),(IF(A43=1,IF(OR(AND(E43=1,'ОТВЕТЫ УЧАЩИХСЯ'!S43=1),AND(E43=2,'ОТВЕТЫ УЧАЩИХСЯ'!S43=2),AND(E43=3,'ОТВЕТЫ УЧАЩИХСЯ'!S43=2),AND(E43=4,'ОТВЕТЫ УЧАЩИХСЯ'!S43=3)),1,IF('ОТВЕТЫ УЧАЩИХСЯ'!S43="N",'ОТВЕТЫ УЧАЩИХСЯ'!S43,0)),"")),"")</f>
        <v>1</v>
      </c>
      <c r="U43" s="99">
        <f t="shared" si="5"/>
        <v>2</v>
      </c>
      <c r="V43" s="99">
        <f>IF(AND(OR($C43&lt;&gt;"",$D43&lt;&gt;""),$A43=1,$AA$6="ДА"),(IF(A43=1,IF(OR(AND(E43=1,'ОТВЕТЫ УЧАЩИХСЯ'!T43=274),AND(E43=2,'ОТВЕТЫ УЧАЩИХСЯ'!T43=3),AND(E43=3,'ОТВЕТЫ УЧАЩИХСЯ'!T43=778),AND(E43=4,'ОТВЕТЫ УЧАЩИХСЯ'!T43=40)),1,IF('ОТВЕТЫ УЧАЩИХСЯ'!T43="N",'ОТВЕТЫ УЧАЩИХСЯ'!T43,0)),"")),"")</f>
        <v>1</v>
      </c>
      <c r="W43" s="99">
        <f>IF(AND(OR($C43&lt;&gt;"",$D43&lt;&gt;""),$A43=1,$AA$6="ДА"),(IF(A43=1,IF(OR(AND(E43=1,'ОТВЕТЫ УЧАЩИХСЯ'!U43=49),AND(E43=2,'ОТВЕТЫ УЧАЩИХСЯ'!U43=2),AND(E43=3,'ОТВЕТЫ УЧАЩИХСЯ'!U43="САТУРН,ЮПИТЕР"),AND(E43=4,'ОТВЕТЫ УЧАЩИХСЯ'!U43=8)),1,IF('ОТВЕТЫ УЧАЩИХСЯ'!U43="N",'ОТВЕТЫ УЧАЩИХСЯ'!U43,0)),"")),"")</f>
        <v>1</v>
      </c>
      <c r="X43" s="99">
        <f>IF(AND(OR($C43&lt;&gt;"",$D43&lt;&gt;""),$A43=1,$AA$6="ДА"),(IF(A43=1,IF(OR(AND(E43=1,'ОТВЕТЫ УЧАЩИХСЯ'!V43=20),AND(E43=2,'ОТВЕТЫ УЧАЩИХСЯ'!V43=20),AND(E43=3,'ОТВЕТЫ УЧАЩИХСЯ'!V43=22),AND(E43=4,'ОТВЕТЫ УЧАЩИХСЯ'!V43=85)),2,IF('ОТВЕТЫ УЧАЩИХСЯ'!V43="N",'ОТВЕТЫ УЧАЩИХСЯ'!V43,0)),"")),"")</f>
        <v>2</v>
      </c>
      <c r="Y43" s="99" t="str">
        <f>IF(AND(OR($C43&lt;&gt;"",$D43&lt;&gt;""),$A43=1,$AA$6="ДА"),IF((ISBLANK($D43)),"",IF($A$20=1,'ОТВЕТЫ УЧАЩИХСЯ'!W43,"")),"")</f>
        <v/>
      </c>
      <c r="Z43" s="332">
        <f t="shared" si="6"/>
        <v>17</v>
      </c>
      <c r="AA43" s="309">
        <f t="shared" si="7"/>
        <v>0.68</v>
      </c>
      <c r="AB43" s="310">
        <f t="shared" si="8"/>
        <v>9</v>
      </c>
      <c r="AC43" s="311">
        <f t="shared" si="9"/>
        <v>81.818181818181827</v>
      </c>
      <c r="AD43" s="310">
        <f t="shared" si="10"/>
        <v>8</v>
      </c>
      <c r="AE43" s="311">
        <f t="shared" si="11"/>
        <v>57.142857142857139</v>
      </c>
      <c r="AF43" s="312" t="str">
        <f t="shared" si="12"/>
        <v>БАЗОВЫЙ</v>
      </c>
      <c r="AG43" s="273">
        <f t="shared" si="13"/>
        <v>15.625</v>
      </c>
      <c r="AH43" s="210">
        <f t="shared" si="14"/>
        <v>0.625</v>
      </c>
      <c r="AI43" s="374">
        <f t="shared" si="15"/>
        <v>15.625</v>
      </c>
      <c r="AJ43" s="375">
        <f t="shared" si="4"/>
        <v>74.621212121212125</v>
      </c>
      <c r="AK43" s="6"/>
      <c r="AL43" s="6"/>
      <c r="AM43" s="6"/>
      <c r="AN43" s="6"/>
      <c r="AO43" s="6"/>
      <c r="AP43" s="6"/>
    </row>
    <row r="44" spans="1:42" ht="12.75" customHeight="1" thickBot="1">
      <c r="A44" s="12">
        <f>IF('СПИСОК КЛАССА'!J44&gt;0,1,0)</f>
        <v>1</v>
      </c>
      <c r="B44" s="97">
        <v>25</v>
      </c>
      <c r="C44" s="98">
        <f>IF(NOT(ISBLANK('СПИСОК КЛАССА'!C44)),'СПИСОК КЛАССА'!C44,"")</f>
        <v>25</v>
      </c>
      <c r="D44" s="131" t="str">
        <f>IF(NOT(ISBLANK('СПИСОК КЛАССА'!D44)),IF($A44=1,'СПИСОК КЛАССА'!D44, "УЧЕНИК НЕ ВЫПОЛНЯЛ РАБОТУ"),"")</f>
        <v/>
      </c>
      <c r="E44" s="149">
        <f>IF($C44&lt;&gt;"",'СПИСОК КЛАССА'!J44,"")</f>
        <v>1</v>
      </c>
      <c r="F44" s="99">
        <f>IF(AND(OR($C44&lt;&gt;"",$D44&lt;&gt;""),$A44=1,$AA$6="ДА"),(IF(A44=1,IF(OR(AND(E44=1,'ОТВЕТЫ УЧАЩИХСЯ'!E44=1),AND(E44=2,'ОТВЕТЫ УЧАЩИХСЯ'!E44=2),AND(E44=3,'ОТВЕТЫ УЧАЩИХСЯ'!E44=4),AND(E44=4,'ОТВЕТЫ УЧАЩИХСЯ'!E44=2)),1,IF('ОТВЕТЫ УЧАЩИХСЯ'!E44="N",'ОТВЕТЫ УЧАЩИХСЯ'!E44,0)),"")),"")</f>
        <v>1</v>
      </c>
      <c r="G44" s="151">
        <f>IF(AND(OR($C44&lt;&gt;"",$D44&lt;&gt;""),$A44=1,$AA$6="ДА"),(IF(A44=1,IF(OR(AND(E44=1,'ОТВЕТЫ УЧАЩИХСЯ'!F44=4),AND(E44=2,'ОТВЕТЫ УЧАЩИХСЯ'!F44=1),AND(E44=3,'ОТВЕТЫ УЧАЩИХСЯ'!F44=2),AND(E44=4,'ОТВЕТЫ УЧАЩИХСЯ'!F44=3)),1,IF('ОТВЕТЫ УЧАЩИХСЯ'!F44="N",'ОТВЕТЫ УЧАЩИХСЯ'!F44,0)),"")),"")</f>
        <v>1</v>
      </c>
      <c r="H44" s="151">
        <f>IF(AND(OR($C44&lt;&gt;"",$D44&lt;&gt;""),$A44=1,$AA$6="ДА"),(IF(A44=1,IF(OR(AND(E44=1,'ОТВЕТЫ УЧАЩИХСЯ'!G44=4),AND(E44=2,'ОТВЕТЫ УЧАЩИХСЯ'!G44=3),AND(E44=3,'ОТВЕТЫ УЧАЩИХСЯ'!G44=4),AND(E44=4,'ОТВЕТЫ УЧАЩИХСЯ'!G44=4)),1,IF('ОТВЕТЫ УЧАЩИХСЯ'!G44="N",'ОТВЕТЫ УЧАЩИХСЯ'!G44,0)),"")),"")</f>
        <v>1</v>
      </c>
      <c r="I44" s="151">
        <f>IF(AND(OR($C44&lt;&gt;"",$D44&lt;&gt;""),$A44=1,$AA$6="ДА"),(IF(A44=1,IF(OR(AND(E44=1,'ОТВЕТЫ УЧАЩИХСЯ'!H44=2),AND(E44=2,'ОТВЕТЫ УЧАЩИХСЯ'!H44=1),AND(E44=3,'ОТВЕТЫ УЧАЩИХСЯ'!H44=3),AND(E44=4,'ОТВЕТЫ УЧАЩИХСЯ'!H44=4)),1,IF('ОТВЕТЫ УЧАЩИХСЯ'!H44="N",'ОТВЕТЫ УЧАЩИХСЯ'!H44,0)),"")),"")</f>
        <v>1</v>
      </c>
      <c r="J44" s="151">
        <f>IF(AND(OR($C44&lt;&gt;"",$D44&lt;&gt;""),$A44=1,$AA$6="ДА"),(IF(A44=1,IF(OR(AND(E44=1,'ОТВЕТЫ УЧАЩИХСЯ'!I44=3),AND(E44=2,'ОТВЕТЫ УЧАЩИХСЯ'!I44=4),AND(E44=3,'ОТВЕТЫ УЧАЩИХСЯ'!I44=3),AND(E44=4,'ОТВЕТЫ УЧАЩИХСЯ'!I44=1)),1,IF('ОТВЕТЫ УЧАЩИХСЯ'!I44="N",'ОТВЕТЫ УЧАЩИХСЯ'!I44,0)),"")),"")</f>
        <v>0</v>
      </c>
      <c r="K44" s="151">
        <f>IF(AND(OR($C44&lt;&gt;"",$D44&lt;&gt;""),$A44=1,$AA$6="ДА"),(IF(A44=1,IF(OR(AND(E44=1,'ОТВЕТЫ УЧАЩИХСЯ'!J44=3),AND(E44=2,'ОТВЕТЫ УЧАЩИХСЯ'!J44=3),AND(E44=3,'ОТВЕТЫ УЧАЩИХСЯ'!J44=2),AND(E44=4,'ОТВЕТЫ УЧАЩИХСЯ'!J44=4)),1,IF('ОТВЕТЫ УЧАЩИХСЯ'!J44="N",'ОТВЕТЫ УЧАЩИХСЯ'!J44,0)),"")),"")</f>
        <v>1</v>
      </c>
      <c r="L44" s="151">
        <f>IF(AND(OR($C44&lt;&gt;"",$D44&lt;&gt;""),$A44=1,$AA$6="ДА"),(IF(A44=1,IF(OR(AND(E44=1,'ОТВЕТЫ УЧАЩИХСЯ'!K44=2),AND(E44=2,'ОТВЕТЫ УЧАЩИХСЯ'!K44=4),AND(E44=3,'ОТВЕТЫ УЧАЩИХСЯ'!K44=1),AND(E44=4,'ОТВЕТЫ УЧАЩИХСЯ'!K44=3)),2,IF('ОТВЕТЫ УЧАЩИХСЯ'!K44="N",'ОТВЕТЫ УЧАЩИХСЯ'!K44,0)),"")),"")</f>
        <v>0</v>
      </c>
      <c r="M44" s="151">
        <f>IF(AND(OR($C44&lt;&gt;"",$D44&lt;&gt;""),$A44=1,$AA$6="ДА"),(IF(A44=1,IF(OR(AND(E44=1,'ОТВЕТЫ УЧАЩИХСЯ'!L44=4),AND(E44=2,'ОТВЕТЫ УЧАЩИХСЯ'!L44=1),AND(E44=3,'ОТВЕТЫ УЧАЩИХСЯ'!L44=4),AND(E44=4,'ОТВЕТЫ УЧАЩИХСЯ'!L44=2)),2,IF('ОТВЕТЫ УЧАЩИХСЯ'!L44="N",'ОТВЕТЫ УЧАЩИХСЯ'!L44,0)),"")),"")</f>
        <v>2</v>
      </c>
      <c r="N44" s="151">
        <f>IF(AND(OR($C44&lt;&gt;"",$D44&lt;&gt;""),$A44=1,$AA$6="ДА"),(IF(A44=1,IF(OR(AND(E44=1,'ОТВЕТЫ УЧАЩИХСЯ'!M44=1),AND(E44=2,'ОТВЕТЫ УЧАЩИХСЯ'!M44=3),AND(E44=3,'ОТВЕТЫ УЧАЩИХСЯ'!M44=3),AND(E44=4,'ОТВЕТЫ УЧАЩИХСЯ'!M44=1)),2,IF('ОТВЕТЫ УЧАЩИХСЯ'!M44="N",'ОТВЕТЫ УЧАЩИХСЯ'!M44,0)),"")),"")</f>
        <v>2</v>
      </c>
      <c r="O44" s="151">
        <f>IF(AND(OR($C44&lt;&gt;"",$D44&lt;&gt;""),$A44=1,$AA$6="ДА"),(IF(A44=1,IF(OR(AND(E44=1,'ОТВЕТЫ УЧАЩИХСЯ'!N44=2),AND(E44=2,'ОТВЕТЫ УЧАЩИХСЯ'!N44=1),AND(E44=3,'ОТВЕТЫ УЧАЩИХСЯ'!N44=3),AND(E44=4,'ОТВЕТЫ УЧАЩИХСЯ'!N44=3)),1,IF('ОТВЕТЫ УЧАЩИХСЯ'!N44="N",'ОТВЕТЫ УЧАЩИХСЯ'!N44,0)),"")),"")</f>
        <v>1</v>
      </c>
      <c r="P44" s="151">
        <f>IF(AND(OR($C44&lt;&gt;"",$D44&lt;&gt;""),$A44=1,$AA$6="ДА"),(IF(A44=1,IF(OR(AND(E44=1,'ОТВЕТЫ УЧАЩИХСЯ'!O44=3),AND(E44=2,'ОТВЕТЫ УЧАЩИХСЯ'!O44=4),AND(E44=3,'ОТВЕТЫ УЧАЩИХСЯ'!O44=2),AND(E44=4,'ОТВЕТЫ УЧАЩИХСЯ'!O44=2)),1,IF('ОТВЕТЫ УЧАЩИХСЯ'!O44="N",'ОТВЕТЫ УЧАЩИХСЯ'!O44,0)),"")),"")</f>
        <v>1</v>
      </c>
      <c r="Q44" s="151">
        <f>IF(AND(OR($C44&lt;&gt;"",$D44&lt;&gt;""),$A44=1,$AA$6="ДА"),(IF(A44=1,IF(OR(AND(E44=1,'ОТВЕТЫ УЧАЩИХСЯ'!P44=4),AND(E44=2,'ОТВЕТЫ УЧАЩИХСЯ'!P44=2),AND(E44=3,'ОТВЕТЫ УЧАЩИХСЯ'!P44=3),AND(E44=4,'ОТВЕТЫ УЧАЩИХСЯ'!P44=2)),2,IF('ОТВЕТЫ УЧАЩИХСЯ'!P44="N",'ОТВЕТЫ УЧАЩИХСЯ'!P44,0)),"")),"")</f>
        <v>0</v>
      </c>
      <c r="R44" s="151">
        <f>IF(AND(OR($C44&lt;&gt;"",$D44&lt;&gt;""),$A44=1,$AA$6="ДА"),(IF(A44=1,IF(OR(AND(E44=1,'ОТВЕТЫ УЧАЩИХСЯ'!Q44=4),AND(E44=2,'ОТВЕТЫ УЧАЩИХСЯ'!Q44=1),AND(E44=3,'ОТВЕТЫ УЧАЩИХСЯ'!Q44=3),AND(E44=4,'ОТВЕТЫ УЧАЩИХСЯ'!Q44=4)),1,IF('ОТВЕТЫ УЧАЩИХСЯ'!Q44="N",'ОТВЕТЫ УЧАЩИХСЯ'!Q44,0)),"")),"")</f>
        <v>1</v>
      </c>
      <c r="S44" s="151">
        <f>IF(AND(OR($C44&lt;&gt;"",$D44&lt;&gt;""),$A44=1,$AA$6="ДА"),(IF(A44=1,IF(OR(AND(E44=1,'ОТВЕТЫ УЧАЩИХСЯ'!R44=3),AND(E44=2,'ОТВЕТЫ УЧАЩИХСЯ'!R44=4),AND(E44=3,'ОТВЕТЫ УЧАЩИХСЯ'!R44=2),AND(E44=4,'ОТВЕТЫ УЧАЩИХСЯ'!R44=1)),1,IF('ОТВЕТЫ УЧАЩИХСЯ'!R44="N",'ОТВЕТЫ УЧАЩИХСЯ'!R44,0)),"")),"")</f>
        <v>1</v>
      </c>
      <c r="T44" s="151">
        <f>IF(AND(OR($C44&lt;&gt;"",$D44&lt;&gt;""),$A44=1,$AA$6="ДА"),(IF(A44=1,IF(OR(AND(E44=1,'ОТВЕТЫ УЧАЩИХСЯ'!S44=1),AND(E44=2,'ОТВЕТЫ УЧАЩИХСЯ'!S44=2),AND(E44=3,'ОТВЕТЫ УЧАЩИХСЯ'!S44=2),AND(E44=4,'ОТВЕТЫ УЧАЩИХСЯ'!S44=3)),1,IF('ОТВЕТЫ УЧАЩИХСЯ'!S44="N",'ОТВЕТЫ УЧАЩИХСЯ'!S44,0)),"")),"")</f>
        <v>1</v>
      </c>
      <c r="U44" s="99">
        <f t="shared" si="5"/>
        <v>1</v>
      </c>
      <c r="V44" s="99">
        <f>IF(AND(OR($C44&lt;&gt;"",$D44&lt;&gt;""),$A44=1,$AA$6="ДА"),(IF(A44=1,IF(OR(AND(E44=1,'ОТВЕТЫ УЧАЩИХСЯ'!T44=274),AND(E44=2,'ОТВЕТЫ УЧАЩИХСЯ'!T44=3),AND(E44=3,'ОТВЕТЫ УЧАЩИХСЯ'!T44=778),AND(E44=4,'ОТВЕТЫ УЧАЩИХСЯ'!T44=40)),1,IF('ОТВЕТЫ УЧАЩИХСЯ'!T44="N",'ОТВЕТЫ УЧАЩИХСЯ'!T44,0)),"")),"")</f>
        <v>0</v>
      </c>
      <c r="W44" s="99">
        <f>IF(AND(OR($C44&lt;&gt;"",$D44&lt;&gt;""),$A44=1,$AA$6="ДА"),(IF(A44=1,IF(OR(AND(E44=1,'ОТВЕТЫ УЧАЩИХСЯ'!U44=49),AND(E44=2,'ОТВЕТЫ УЧАЩИХСЯ'!U44=2),AND(E44=3,'ОТВЕТЫ УЧАЩИХСЯ'!U44="САТУРН,ЮПИТЕР"),AND(E44=4,'ОТВЕТЫ УЧАЩИХСЯ'!U44=8)),1,IF('ОТВЕТЫ УЧАЩИХСЯ'!U44="N",'ОТВЕТЫ УЧАЩИХСЯ'!U44,0)),"")),"")</f>
        <v>1</v>
      </c>
      <c r="X44" s="99">
        <f>IF(AND(OR($C44&lt;&gt;"",$D44&lt;&gt;""),$A44=1,$AA$6="ДА"),(IF(A44=1,IF(OR(AND(E44=1,'ОТВЕТЫ УЧАЩИХСЯ'!V44=20),AND(E44=2,'ОТВЕТЫ УЧАЩИХСЯ'!V44=20),AND(E44=3,'ОТВЕТЫ УЧАЩИХСЯ'!V44=22),AND(E44=4,'ОТВЕТЫ УЧАЩИХСЯ'!V44=85)),2,IF('ОТВЕТЫ УЧАЩИХСЯ'!V44="N",'ОТВЕТЫ УЧАЩИХСЯ'!V44,0)),"")),"")</f>
        <v>2</v>
      </c>
      <c r="Y44" s="99" t="str">
        <f>IF(AND(OR($C44&lt;&gt;"",$D44&lt;&gt;""),$A44=1,$AA$6="ДА"),IF((ISBLANK($D44)),"",IF($A$20=1,'ОТВЕТЫ УЧАЩИХСЯ'!W44,"")),"")</f>
        <v/>
      </c>
      <c r="Z44" s="332">
        <f t="shared" si="6"/>
        <v>17</v>
      </c>
      <c r="AA44" s="309">
        <f t="shared" si="7"/>
        <v>0.68</v>
      </c>
      <c r="AB44" s="310">
        <f t="shared" si="8"/>
        <v>10</v>
      </c>
      <c r="AC44" s="311">
        <f t="shared" si="9"/>
        <v>90.909090909090907</v>
      </c>
      <c r="AD44" s="310">
        <f t="shared" si="10"/>
        <v>7</v>
      </c>
      <c r="AE44" s="311">
        <f t="shared" si="11"/>
        <v>50</v>
      </c>
      <c r="AF44" s="312" t="str">
        <f t="shared" si="12"/>
        <v>БАЗОВЫЙ</v>
      </c>
      <c r="AG44" s="273">
        <f t="shared" si="13"/>
        <v>15.625</v>
      </c>
      <c r="AH44" s="210">
        <f t="shared" si="14"/>
        <v>0.625</v>
      </c>
      <c r="AI44" s="374">
        <f t="shared" si="15"/>
        <v>15.625</v>
      </c>
      <c r="AJ44" s="375">
        <f t="shared" si="4"/>
        <v>74.621212121212125</v>
      </c>
      <c r="AK44" s="6"/>
      <c r="AL44" s="6"/>
      <c r="AM44" s="6"/>
      <c r="AN44" s="6"/>
      <c r="AO44" s="6"/>
      <c r="AP44" s="6"/>
    </row>
    <row r="45" spans="1:42" ht="12.75" customHeight="1" thickBot="1">
      <c r="A45" s="12">
        <f>IF('СПИСОК КЛАССА'!J45&gt;0,1,0)</f>
        <v>1</v>
      </c>
      <c r="B45" s="97">
        <v>26</v>
      </c>
      <c r="C45" s="98">
        <f>IF(NOT(ISBLANK('СПИСОК КЛАССА'!C45)),'СПИСОК КЛАССА'!C45,"")</f>
        <v>26</v>
      </c>
      <c r="D45" s="131" t="str">
        <f>IF(NOT(ISBLANK('СПИСОК КЛАССА'!D45)),IF($A45=1,'СПИСОК КЛАССА'!D45, "УЧЕНИК НЕ ВЫПОЛНЯЛ РАБОТУ"),"")</f>
        <v/>
      </c>
      <c r="E45" s="149">
        <f>IF($C45&lt;&gt;"",'СПИСОК КЛАССА'!J45,"")</f>
        <v>2</v>
      </c>
      <c r="F45" s="99">
        <f>IF(AND(OR($C45&lt;&gt;"",$D45&lt;&gt;""),$A45=1,$AA$6="ДА"),(IF(A45=1,IF(OR(AND(E45=1,'ОТВЕТЫ УЧАЩИХСЯ'!E45=1),AND(E45=2,'ОТВЕТЫ УЧАЩИХСЯ'!E45=2),AND(E45=3,'ОТВЕТЫ УЧАЩИХСЯ'!E45=4),AND(E45=4,'ОТВЕТЫ УЧАЩИХСЯ'!E45=2)),1,IF('ОТВЕТЫ УЧАЩИХСЯ'!E45="N",'ОТВЕТЫ УЧАЩИХСЯ'!E45,0)),"")),"")</f>
        <v>1</v>
      </c>
      <c r="G45" s="151">
        <f>IF(AND(OR($C45&lt;&gt;"",$D45&lt;&gt;""),$A45=1,$AA$6="ДА"),(IF(A45=1,IF(OR(AND(E45=1,'ОТВЕТЫ УЧАЩИХСЯ'!F45=4),AND(E45=2,'ОТВЕТЫ УЧАЩИХСЯ'!F45=1),AND(E45=3,'ОТВЕТЫ УЧАЩИХСЯ'!F45=2),AND(E45=4,'ОТВЕТЫ УЧАЩИХСЯ'!F45=3)),1,IF('ОТВЕТЫ УЧАЩИХСЯ'!F45="N",'ОТВЕТЫ УЧАЩИХСЯ'!F45,0)),"")),"")</f>
        <v>1</v>
      </c>
      <c r="H45" s="151">
        <f>IF(AND(OR($C45&lt;&gt;"",$D45&lt;&gt;""),$A45=1,$AA$6="ДА"),(IF(A45=1,IF(OR(AND(E45=1,'ОТВЕТЫ УЧАЩИХСЯ'!G45=4),AND(E45=2,'ОТВЕТЫ УЧАЩИХСЯ'!G45=3),AND(E45=3,'ОТВЕТЫ УЧАЩИХСЯ'!G45=4),AND(E45=4,'ОТВЕТЫ УЧАЩИХСЯ'!G45=4)),1,IF('ОТВЕТЫ УЧАЩИХСЯ'!G45="N",'ОТВЕТЫ УЧАЩИХСЯ'!G45,0)),"")),"")</f>
        <v>1</v>
      </c>
      <c r="I45" s="151">
        <f>IF(AND(OR($C45&lt;&gt;"",$D45&lt;&gt;""),$A45=1,$AA$6="ДА"),(IF(A45=1,IF(OR(AND(E45=1,'ОТВЕТЫ УЧАЩИХСЯ'!H45=2),AND(E45=2,'ОТВЕТЫ УЧАЩИХСЯ'!H45=1),AND(E45=3,'ОТВЕТЫ УЧАЩИХСЯ'!H45=3),AND(E45=4,'ОТВЕТЫ УЧАЩИХСЯ'!H45=4)),1,IF('ОТВЕТЫ УЧАЩИХСЯ'!H45="N",'ОТВЕТЫ УЧАЩИХСЯ'!H45,0)),"")),"")</f>
        <v>1</v>
      </c>
      <c r="J45" s="151">
        <f>IF(AND(OR($C45&lt;&gt;"",$D45&lt;&gt;""),$A45=1,$AA$6="ДА"),(IF(A45=1,IF(OR(AND(E45=1,'ОТВЕТЫ УЧАЩИХСЯ'!I45=3),AND(E45=2,'ОТВЕТЫ УЧАЩИХСЯ'!I45=4),AND(E45=3,'ОТВЕТЫ УЧАЩИХСЯ'!I45=3),AND(E45=4,'ОТВЕТЫ УЧАЩИХСЯ'!I45=1)),1,IF('ОТВЕТЫ УЧАЩИХСЯ'!I45="N",'ОТВЕТЫ УЧАЩИХСЯ'!I45,0)),"")),"")</f>
        <v>1</v>
      </c>
      <c r="K45" s="151">
        <f>IF(AND(OR($C45&lt;&gt;"",$D45&lt;&gt;""),$A45=1,$AA$6="ДА"),(IF(A45=1,IF(OR(AND(E45=1,'ОТВЕТЫ УЧАЩИХСЯ'!J45=3),AND(E45=2,'ОТВЕТЫ УЧАЩИХСЯ'!J45=3),AND(E45=3,'ОТВЕТЫ УЧАЩИХСЯ'!J45=2),AND(E45=4,'ОТВЕТЫ УЧАЩИХСЯ'!J45=4)),1,IF('ОТВЕТЫ УЧАЩИХСЯ'!J45="N",'ОТВЕТЫ УЧАЩИХСЯ'!J45,0)),"")),"")</f>
        <v>1</v>
      </c>
      <c r="L45" s="151">
        <f>IF(AND(OR($C45&lt;&gt;"",$D45&lt;&gt;""),$A45=1,$AA$6="ДА"),(IF(A45=1,IF(OR(AND(E45=1,'ОТВЕТЫ УЧАЩИХСЯ'!K45=2),AND(E45=2,'ОТВЕТЫ УЧАЩИХСЯ'!K45=4),AND(E45=3,'ОТВЕТЫ УЧАЩИХСЯ'!K45=1),AND(E45=4,'ОТВЕТЫ УЧАЩИХСЯ'!K45=3)),2,IF('ОТВЕТЫ УЧАЩИХСЯ'!K45="N",'ОТВЕТЫ УЧАЩИХСЯ'!K45,0)),"")),"")</f>
        <v>2</v>
      </c>
      <c r="M45" s="151">
        <f>IF(AND(OR($C45&lt;&gt;"",$D45&lt;&gt;""),$A45=1,$AA$6="ДА"),(IF(A45=1,IF(OR(AND(E45=1,'ОТВЕТЫ УЧАЩИХСЯ'!L45=4),AND(E45=2,'ОТВЕТЫ УЧАЩИХСЯ'!L45=1),AND(E45=3,'ОТВЕТЫ УЧАЩИХСЯ'!L45=4),AND(E45=4,'ОТВЕТЫ УЧАЩИХСЯ'!L45=2)),2,IF('ОТВЕТЫ УЧАЩИХСЯ'!L45="N",'ОТВЕТЫ УЧАЩИХСЯ'!L45,0)),"")),"")</f>
        <v>2</v>
      </c>
      <c r="N45" s="151">
        <f>IF(AND(OR($C45&lt;&gt;"",$D45&lt;&gt;""),$A45=1,$AA$6="ДА"),(IF(A45=1,IF(OR(AND(E45=1,'ОТВЕТЫ УЧАЩИХСЯ'!M45=1),AND(E45=2,'ОТВЕТЫ УЧАЩИХСЯ'!M45=3),AND(E45=3,'ОТВЕТЫ УЧАЩИХСЯ'!M45=3),AND(E45=4,'ОТВЕТЫ УЧАЩИХСЯ'!M45=1)),2,IF('ОТВЕТЫ УЧАЩИХСЯ'!M45="N",'ОТВЕТЫ УЧАЩИХСЯ'!M45,0)),"")),"")</f>
        <v>2</v>
      </c>
      <c r="O45" s="151">
        <f>IF(AND(OR($C45&lt;&gt;"",$D45&lt;&gt;""),$A45=1,$AA$6="ДА"),(IF(A45=1,IF(OR(AND(E45=1,'ОТВЕТЫ УЧАЩИХСЯ'!N45=2),AND(E45=2,'ОТВЕТЫ УЧАЩИХСЯ'!N45=1),AND(E45=3,'ОТВЕТЫ УЧАЩИХСЯ'!N45=3),AND(E45=4,'ОТВЕТЫ УЧАЩИХСЯ'!N45=3)),1,IF('ОТВЕТЫ УЧАЩИХСЯ'!N45="N",'ОТВЕТЫ УЧАЩИХСЯ'!N45,0)),"")),"")</f>
        <v>1</v>
      </c>
      <c r="P45" s="151">
        <f>IF(AND(OR($C45&lt;&gt;"",$D45&lt;&gt;""),$A45=1,$AA$6="ДА"),(IF(A45=1,IF(OR(AND(E45=1,'ОТВЕТЫ УЧАЩИХСЯ'!O45=3),AND(E45=2,'ОТВЕТЫ УЧАЩИХСЯ'!O45=4),AND(E45=3,'ОТВЕТЫ УЧАЩИХСЯ'!O45=2),AND(E45=4,'ОТВЕТЫ УЧАЩИХСЯ'!O45=2)),1,IF('ОТВЕТЫ УЧАЩИХСЯ'!O45="N",'ОТВЕТЫ УЧАЩИХСЯ'!O45,0)),"")),"")</f>
        <v>1</v>
      </c>
      <c r="Q45" s="151">
        <f>IF(AND(OR($C45&lt;&gt;"",$D45&lt;&gt;""),$A45=1,$AA$6="ДА"),(IF(A45=1,IF(OR(AND(E45=1,'ОТВЕТЫ УЧАЩИХСЯ'!P45=4),AND(E45=2,'ОТВЕТЫ УЧАЩИХСЯ'!P45=2),AND(E45=3,'ОТВЕТЫ УЧАЩИХСЯ'!P45=3),AND(E45=4,'ОТВЕТЫ УЧАЩИХСЯ'!P45=2)),2,IF('ОТВЕТЫ УЧАЩИХСЯ'!P45="N",'ОТВЕТЫ УЧАЩИХСЯ'!P45,0)),"")),"")</f>
        <v>2</v>
      </c>
      <c r="R45" s="151">
        <f>IF(AND(OR($C45&lt;&gt;"",$D45&lt;&gt;""),$A45=1,$AA$6="ДА"),(IF(A45=1,IF(OR(AND(E45=1,'ОТВЕТЫ УЧАЩИХСЯ'!Q45=4),AND(E45=2,'ОТВЕТЫ УЧАЩИХСЯ'!Q45=1),AND(E45=3,'ОТВЕТЫ УЧАЩИХСЯ'!Q45=3),AND(E45=4,'ОТВЕТЫ УЧАЩИХСЯ'!Q45=4)),1,IF('ОТВЕТЫ УЧАЩИХСЯ'!Q45="N",'ОТВЕТЫ УЧАЩИХСЯ'!Q45,0)),"")),"")</f>
        <v>1</v>
      </c>
      <c r="S45" s="151">
        <f>IF(AND(OR($C45&lt;&gt;"",$D45&lt;&gt;""),$A45=1,$AA$6="ДА"),(IF(A45=1,IF(OR(AND(E45=1,'ОТВЕТЫ УЧАЩИХСЯ'!R45=3),AND(E45=2,'ОТВЕТЫ УЧАЩИХСЯ'!R45=4),AND(E45=3,'ОТВЕТЫ УЧАЩИХСЯ'!R45=2),AND(E45=4,'ОТВЕТЫ УЧАЩИХСЯ'!R45=1)),1,IF('ОТВЕТЫ УЧАЩИХСЯ'!R45="N",'ОТВЕТЫ УЧАЩИХСЯ'!R45,0)),"")),"")</f>
        <v>1</v>
      </c>
      <c r="T45" s="151">
        <f>IF(AND(OR($C45&lt;&gt;"",$D45&lt;&gt;""),$A45=1,$AA$6="ДА"),(IF(A45=1,IF(OR(AND(E45=1,'ОТВЕТЫ УЧАЩИХСЯ'!S45=1),AND(E45=2,'ОТВЕТЫ УЧАЩИХСЯ'!S45=2),AND(E45=3,'ОТВЕТЫ УЧАЩИХСЯ'!S45=2),AND(E45=4,'ОТВЕТЫ УЧАЩИХСЯ'!S45=3)),1,IF('ОТВЕТЫ УЧАЩИХСЯ'!S45="N",'ОТВЕТЫ УЧАЩИХСЯ'!S45,0)),"")),"")</f>
        <v>1</v>
      </c>
      <c r="U45" s="99">
        <f t="shared" si="5"/>
        <v>2</v>
      </c>
      <c r="V45" s="99">
        <f>IF(AND(OR($C45&lt;&gt;"",$D45&lt;&gt;""),$A45=1,$AA$6="ДА"),(IF(A45=1,IF(OR(AND(E45=1,'ОТВЕТЫ УЧАЩИХСЯ'!T45=274),AND(E45=2,'ОТВЕТЫ УЧАЩИХСЯ'!T45=3),AND(E45=3,'ОТВЕТЫ УЧАЩИХСЯ'!T45=778),AND(E45=4,'ОТВЕТЫ УЧАЩИХСЯ'!T45=40)),1,IF('ОТВЕТЫ УЧАЩИХСЯ'!T45="N",'ОТВЕТЫ УЧАЩИХСЯ'!T45,0)),"")),"")</f>
        <v>1</v>
      </c>
      <c r="W45" s="99">
        <f>IF(AND(OR($C45&lt;&gt;"",$D45&lt;&gt;""),$A45=1,$AA$6="ДА"),(IF(A45=1,IF(OR(AND(E45=1,'ОТВЕТЫ УЧАЩИХСЯ'!U45=49),AND(E45=2,'ОТВЕТЫ УЧАЩИХСЯ'!U45=2),AND(E45=3,'ОТВЕТЫ УЧАЩИХСЯ'!U45="САТУРН,ЮПИТЕР"),AND(E45=4,'ОТВЕТЫ УЧАЩИХСЯ'!U45=8)),1,IF('ОТВЕТЫ УЧАЩИХСЯ'!U45="N",'ОТВЕТЫ УЧАЩИХСЯ'!U45,0)),"")),"")</f>
        <v>1</v>
      </c>
      <c r="X45" s="99">
        <f>IF(AND(OR($C45&lt;&gt;"",$D45&lt;&gt;""),$A45=1,$AA$6="ДА"),(IF(A45=1,IF(OR(AND(E45=1,'ОТВЕТЫ УЧАЩИХСЯ'!V45=20),AND(E45=2,'ОТВЕТЫ УЧАЩИХСЯ'!V45=20),AND(E45=3,'ОТВЕТЫ УЧАЩИХСЯ'!V45=22),AND(E45=4,'ОТВЕТЫ УЧАЩИХСЯ'!V45=85)),2,IF('ОТВЕТЫ УЧАЩИХСЯ'!V45="N",'ОТВЕТЫ УЧАЩИХСЯ'!V45,0)),"")),"")</f>
        <v>2</v>
      </c>
      <c r="Y45" s="99" t="str">
        <f>IF(AND(OR($C45&lt;&gt;"",$D45&lt;&gt;""),$A45=1,$AA$6="ДА"),IF((ISBLANK($D45)),"",IF($A$20=1,'ОТВЕТЫ УЧАЩИХСЯ'!W45,"")),"")</f>
        <v/>
      </c>
      <c r="Z45" s="332">
        <f t="shared" si="6"/>
        <v>23</v>
      </c>
      <c r="AA45" s="309">
        <f t="shared" si="7"/>
        <v>0.92</v>
      </c>
      <c r="AB45" s="310">
        <f t="shared" si="8"/>
        <v>11</v>
      </c>
      <c r="AC45" s="311">
        <f t="shared" si="9"/>
        <v>100</v>
      </c>
      <c r="AD45" s="310">
        <f t="shared" si="10"/>
        <v>12</v>
      </c>
      <c r="AE45" s="311">
        <f t="shared" si="11"/>
        <v>85.714285714285708</v>
      </c>
      <c r="AF45" s="312" t="str">
        <f t="shared" si="12"/>
        <v>ВЫСОКИЙ</v>
      </c>
      <c r="AG45" s="273">
        <f t="shared" si="13"/>
        <v>15.625</v>
      </c>
      <c r="AH45" s="210">
        <f t="shared" si="14"/>
        <v>0.625</v>
      </c>
      <c r="AI45" s="374">
        <f t="shared" si="15"/>
        <v>15.625</v>
      </c>
      <c r="AJ45" s="375">
        <f t="shared" si="4"/>
        <v>74.621212121212125</v>
      </c>
      <c r="AK45" s="6"/>
      <c r="AL45" s="6"/>
      <c r="AM45" s="6"/>
      <c r="AN45" s="6"/>
      <c r="AO45" s="6"/>
      <c r="AP45" s="6"/>
    </row>
    <row r="46" spans="1:42" ht="12.75" customHeight="1" thickBot="1">
      <c r="A46" s="12">
        <f>IF('СПИСОК КЛАССА'!J46&gt;0,1,0)</f>
        <v>1</v>
      </c>
      <c r="B46" s="97">
        <v>27</v>
      </c>
      <c r="C46" s="98">
        <f>IF(NOT(ISBLANK('СПИСОК КЛАССА'!C46)),'СПИСОК КЛАССА'!C46,"")</f>
        <v>27</v>
      </c>
      <c r="D46" s="131" t="str">
        <f>IF(NOT(ISBLANK('СПИСОК КЛАССА'!D46)),IF($A46=1,'СПИСОК КЛАССА'!D46, "УЧЕНИК НЕ ВЫПОЛНЯЛ РАБОТУ"),"")</f>
        <v/>
      </c>
      <c r="E46" s="149">
        <f>IF($C46&lt;&gt;"",'СПИСОК КЛАССА'!J46,"")</f>
        <v>2</v>
      </c>
      <c r="F46" s="99">
        <f>IF(AND(OR($C46&lt;&gt;"",$D46&lt;&gt;""),$A46=1,$AA$6="ДА"),(IF(A46=1,IF(OR(AND(E46=1,'ОТВЕТЫ УЧАЩИХСЯ'!E46=1),AND(E46=2,'ОТВЕТЫ УЧАЩИХСЯ'!E46=2),AND(E46=3,'ОТВЕТЫ УЧАЩИХСЯ'!E46=4),AND(E46=4,'ОТВЕТЫ УЧАЩИХСЯ'!E46=2)),1,IF('ОТВЕТЫ УЧАЩИХСЯ'!E46="N",'ОТВЕТЫ УЧАЩИХСЯ'!E46,0)),"")),"")</f>
        <v>1</v>
      </c>
      <c r="G46" s="151">
        <f>IF(AND(OR($C46&lt;&gt;"",$D46&lt;&gt;""),$A46=1,$AA$6="ДА"),(IF(A46=1,IF(OR(AND(E46=1,'ОТВЕТЫ УЧАЩИХСЯ'!F46=4),AND(E46=2,'ОТВЕТЫ УЧАЩИХСЯ'!F46=1),AND(E46=3,'ОТВЕТЫ УЧАЩИХСЯ'!F46=2),AND(E46=4,'ОТВЕТЫ УЧАЩИХСЯ'!F46=3)),1,IF('ОТВЕТЫ УЧАЩИХСЯ'!F46="N",'ОТВЕТЫ УЧАЩИХСЯ'!F46,0)),"")),"")</f>
        <v>1</v>
      </c>
      <c r="H46" s="151">
        <f>IF(AND(OR($C46&lt;&gt;"",$D46&lt;&gt;""),$A46=1,$AA$6="ДА"),(IF(A46=1,IF(OR(AND(E46=1,'ОТВЕТЫ УЧАЩИХСЯ'!G46=4),AND(E46=2,'ОТВЕТЫ УЧАЩИХСЯ'!G46=3),AND(E46=3,'ОТВЕТЫ УЧАЩИХСЯ'!G46=4),AND(E46=4,'ОТВЕТЫ УЧАЩИХСЯ'!G46=4)),1,IF('ОТВЕТЫ УЧАЩИХСЯ'!G46="N",'ОТВЕТЫ УЧАЩИХСЯ'!G46,0)),"")),"")</f>
        <v>1</v>
      </c>
      <c r="I46" s="151">
        <f>IF(AND(OR($C46&lt;&gt;"",$D46&lt;&gt;""),$A46=1,$AA$6="ДА"),(IF(A46=1,IF(OR(AND(E46=1,'ОТВЕТЫ УЧАЩИХСЯ'!H46=2),AND(E46=2,'ОТВЕТЫ УЧАЩИХСЯ'!H46=1),AND(E46=3,'ОТВЕТЫ УЧАЩИХСЯ'!H46=3),AND(E46=4,'ОТВЕТЫ УЧАЩИХСЯ'!H46=4)),1,IF('ОТВЕТЫ УЧАЩИХСЯ'!H46="N",'ОТВЕТЫ УЧАЩИХСЯ'!H46,0)),"")),"")</f>
        <v>1</v>
      </c>
      <c r="J46" s="151">
        <f>IF(AND(OR($C46&lt;&gt;"",$D46&lt;&gt;""),$A46=1,$AA$6="ДА"),(IF(A46=1,IF(OR(AND(E46=1,'ОТВЕТЫ УЧАЩИХСЯ'!I46=3),AND(E46=2,'ОТВЕТЫ УЧАЩИХСЯ'!I46=4),AND(E46=3,'ОТВЕТЫ УЧАЩИХСЯ'!I46=3),AND(E46=4,'ОТВЕТЫ УЧАЩИХСЯ'!I46=1)),1,IF('ОТВЕТЫ УЧАЩИХСЯ'!I46="N",'ОТВЕТЫ УЧАЩИХСЯ'!I46,0)),"")),"")</f>
        <v>1</v>
      </c>
      <c r="K46" s="151">
        <f>IF(AND(OR($C46&lt;&gt;"",$D46&lt;&gt;""),$A46=1,$AA$6="ДА"),(IF(A46=1,IF(OR(AND(E46=1,'ОТВЕТЫ УЧАЩИХСЯ'!J46=3),AND(E46=2,'ОТВЕТЫ УЧАЩИХСЯ'!J46=3),AND(E46=3,'ОТВЕТЫ УЧАЩИХСЯ'!J46=2),AND(E46=4,'ОТВЕТЫ УЧАЩИХСЯ'!J46=4)),1,IF('ОТВЕТЫ УЧАЩИХСЯ'!J46="N",'ОТВЕТЫ УЧАЩИХСЯ'!J46,0)),"")),"")</f>
        <v>1</v>
      </c>
      <c r="L46" s="151">
        <f>IF(AND(OR($C46&lt;&gt;"",$D46&lt;&gt;""),$A46=1,$AA$6="ДА"),(IF(A46=1,IF(OR(AND(E46=1,'ОТВЕТЫ УЧАЩИХСЯ'!K46=2),AND(E46=2,'ОТВЕТЫ УЧАЩИХСЯ'!K46=4),AND(E46=3,'ОТВЕТЫ УЧАЩИХСЯ'!K46=1),AND(E46=4,'ОТВЕТЫ УЧАЩИХСЯ'!K46=3)),2,IF('ОТВЕТЫ УЧАЩИХСЯ'!K46="N",'ОТВЕТЫ УЧАЩИХСЯ'!K46,0)),"")),"")</f>
        <v>2</v>
      </c>
      <c r="M46" s="151">
        <f>IF(AND(OR($C46&lt;&gt;"",$D46&lt;&gt;""),$A46=1,$AA$6="ДА"),(IF(A46=1,IF(OR(AND(E46=1,'ОТВЕТЫ УЧАЩИХСЯ'!L46=4),AND(E46=2,'ОТВЕТЫ УЧАЩИХСЯ'!L46=1),AND(E46=3,'ОТВЕТЫ УЧАЩИХСЯ'!L46=4),AND(E46=4,'ОТВЕТЫ УЧАЩИХСЯ'!L46=2)),2,IF('ОТВЕТЫ УЧАЩИХСЯ'!L46="N",'ОТВЕТЫ УЧАЩИХСЯ'!L46,0)),"")),"")</f>
        <v>2</v>
      </c>
      <c r="N46" s="151">
        <f>IF(AND(OR($C46&lt;&gt;"",$D46&lt;&gt;""),$A46=1,$AA$6="ДА"),(IF(A46=1,IF(OR(AND(E46=1,'ОТВЕТЫ УЧАЩИХСЯ'!M46=1),AND(E46=2,'ОТВЕТЫ УЧАЩИХСЯ'!M46=3),AND(E46=3,'ОТВЕТЫ УЧАЩИХСЯ'!M46=3),AND(E46=4,'ОТВЕТЫ УЧАЩИХСЯ'!M46=1)),2,IF('ОТВЕТЫ УЧАЩИХСЯ'!M46="N",'ОТВЕТЫ УЧАЩИХСЯ'!M46,0)),"")),"")</f>
        <v>2</v>
      </c>
      <c r="O46" s="151">
        <f>IF(AND(OR($C46&lt;&gt;"",$D46&lt;&gt;""),$A46=1,$AA$6="ДА"),(IF(A46=1,IF(OR(AND(E46=1,'ОТВЕТЫ УЧАЩИХСЯ'!N46=2),AND(E46=2,'ОТВЕТЫ УЧАЩИХСЯ'!N46=1),AND(E46=3,'ОТВЕТЫ УЧАЩИХСЯ'!N46=3),AND(E46=4,'ОТВЕТЫ УЧАЩИХСЯ'!N46=3)),1,IF('ОТВЕТЫ УЧАЩИХСЯ'!N46="N",'ОТВЕТЫ УЧАЩИХСЯ'!N46,0)),"")),"")</f>
        <v>1</v>
      </c>
      <c r="P46" s="151">
        <f>IF(AND(OR($C46&lt;&gt;"",$D46&lt;&gt;""),$A46=1,$AA$6="ДА"),(IF(A46=1,IF(OR(AND(E46=1,'ОТВЕТЫ УЧАЩИХСЯ'!O46=3),AND(E46=2,'ОТВЕТЫ УЧАЩИХСЯ'!O46=4),AND(E46=3,'ОТВЕТЫ УЧАЩИХСЯ'!O46=2),AND(E46=4,'ОТВЕТЫ УЧАЩИХСЯ'!O46=2)),1,IF('ОТВЕТЫ УЧАЩИХСЯ'!O46="N",'ОТВЕТЫ УЧАЩИХСЯ'!O46,0)),"")),"")</f>
        <v>1</v>
      </c>
      <c r="Q46" s="151">
        <f>IF(AND(OR($C46&lt;&gt;"",$D46&lt;&gt;""),$A46=1,$AA$6="ДА"),(IF(A46=1,IF(OR(AND(E46=1,'ОТВЕТЫ УЧАЩИХСЯ'!P46=4),AND(E46=2,'ОТВЕТЫ УЧАЩИХСЯ'!P46=2),AND(E46=3,'ОТВЕТЫ УЧАЩИХСЯ'!P46=3),AND(E46=4,'ОТВЕТЫ УЧАЩИХСЯ'!P46=2)),2,IF('ОТВЕТЫ УЧАЩИХСЯ'!P46="N",'ОТВЕТЫ УЧАЩИХСЯ'!P46,0)),"")),"")</f>
        <v>0</v>
      </c>
      <c r="R46" s="151">
        <f>IF(AND(OR($C46&lt;&gt;"",$D46&lt;&gt;""),$A46=1,$AA$6="ДА"),(IF(A46=1,IF(OR(AND(E46=1,'ОТВЕТЫ УЧАЩИХСЯ'!Q46=4),AND(E46=2,'ОТВЕТЫ УЧАЩИХСЯ'!Q46=1),AND(E46=3,'ОТВЕТЫ УЧАЩИХСЯ'!Q46=3),AND(E46=4,'ОТВЕТЫ УЧАЩИХСЯ'!Q46=4)),1,IF('ОТВЕТЫ УЧАЩИХСЯ'!Q46="N",'ОТВЕТЫ УЧАЩИХСЯ'!Q46,0)),"")),"")</f>
        <v>1</v>
      </c>
      <c r="S46" s="151">
        <f>IF(AND(OR($C46&lt;&gt;"",$D46&lt;&gt;""),$A46=1,$AA$6="ДА"),(IF(A46=1,IF(OR(AND(E46=1,'ОТВЕТЫ УЧАЩИХСЯ'!R46=3),AND(E46=2,'ОТВЕТЫ УЧАЩИХСЯ'!R46=4),AND(E46=3,'ОТВЕТЫ УЧАЩИХСЯ'!R46=2),AND(E46=4,'ОТВЕТЫ УЧАЩИХСЯ'!R46=1)),1,IF('ОТВЕТЫ УЧАЩИХСЯ'!R46="N",'ОТВЕТЫ УЧАЩИХСЯ'!R46,0)),"")),"")</f>
        <v>1</v>
      </c>
      <c r="T46" s="151">
        <f>IF(AND(OR($C46&lt;&gt;"",$D46&lt;&gt;""),$A46=1,$AA$6="ДА"),(IF(A46=1,IF(OR(AND(E46=1,'ОТВЕТЫ УЧАЩИХСЯ'!S46=1),AND(E46=2,'ОТВЕТЫ УЧАЩИХСЯ'!S46=2),AND(E46=3,'ОТВЕТЫ УЧАЩИХСЯ'!S46=2),AND(E46=4,'ОТВЕТЫ УЧАЩИХСЯ'!S46=3)),1,IF('ОТВЕТЫ УЧАЩИХСЯ'!S46="N",'ОТВЕТЫ УЧАЩИХСЯ'!S46,0)),"")),"")</f>
        <v>1</v>
      </c>
      <c r="U46" s="99">
        <f t="shared" si="5"/>
        <v>2</v>
      </c>
      <c r="V46" s="99">
        <f>IF(AND(OR($C46&lt;&gt;"",$D46&lt;&gt;""),$A46=1,$AA$6="ДА"),(IF(A46=1,IF(OR(AND(E46=1,'ОТВЕТЫ УЧАЩИХСЯ'!T46=274),AND(E46=2,'ОТВЕТЫ УЧАЩИХСЯ'!T46=3),AND(E46=3,'ОТВЕТЫ УЧАЩИХСЯ'!T46=778),AND(E46=4,'ОТВЕТЫ УЧАЩИХСЯ'!T46=40)),1,IF('ОТВЕТЫ УЧАЩИХСЯ'!T46="N",'ОТВЕТЫ УЧАЩИХСЯ'!T46,0)),"")),"")</f>
        <v>1</v>
      </c>
      <c r="W46" s="99">
        <f>IF(AND(OR($C46&lt;&gt;"",$D46&lt;&gt;""),$A46=1,$AA$6="ДА"),(IF(A46=1,IF(OR(AND(E46=1,'ОТВЕТЫ УЧАЩИХСЯ'!U46=49),AND(E46=2,'ОТВЕТЫ УЧАЩИХСЯ'!U46=2),AND(E46=3,'ОТВЕТЫ УЧАЩИХСЯ'!U46="САТУРН,ЮПИТЕР"),AND(E46=4,'ОТВЕТЫ УЧАЩИХСЯ'!U46=8)),1,IF('ОТВЕТЫ УЧАЩИХСЯ'!U46="N",'ОТВЕТЫ УЧАЩИХСЯ'!U46,0)),"")),"")</f>
        <v>1</v>
      </c>
      <c r="X46" s="99">
        <f>IF(AND(OR($C46&lt;&gt;"",$D46&lt;&gt;""),$A46=1,$AA$6="ДА"),(IF(A46=1,IF(OR(AND(E46=1,'ОТВЕТЫ УЧАЩИХСЯ'!V46=20),AND(E46=2,'ОТВЕТЫ УЧАЩИХСЯ'!V46=20),AND(E46=3,'ОТВЕТЫ УЧАЩИХСЯ'!V46=22),AND(E46=4,'ОТВЕТЫ УЧАЩИХСЯ'!V46=85)),2,IF('ОТВЕТЫ УЧАЩИХСЯ'!V46="N",'ОТВЕТЫ УЧАЩИХСЯ'!V46,0)),"")),"")</f>
        <v>2</v>
      </c>
      <c r="Y46" s="99" t="str">
        <f>IF(AND(OR($C46&lt;&gt;"",$D46&lt;&gt;""),$A46=1,$AA$6="ДА"),IF((ISBLANK($D46)),"",IF($A$20=1,'ОТВЕТЫ УЧАЩИХСЯ'!W46,"")),"")</f>
        <v/>
      </c>
      <c r="Z46" s="332">
        <f t="shared" si="6"/>
        <v>21</v>
      </c>
      <c r="AA46" s="309">
        <f t="shared" si="7"/>
        <v>0.84</v>
      </c>
      <c r="AB46" s="310">
        <f t="shared" si="8"/>
        <v>11</v>
      </c>
      <c r="AC46" s="311">
        <f t="shared" si="9"/>
        <v>100</v>
      </c>
      <c r="AD46" s="310">
        <f t="shared" si="10"/>
        <v>10</v>
      </c>
      <c r="AE46" s="311">
        <f t="shared" si="11"/>
        <v>71.428571428571431</v>
      </c>
      <c r="AF46" s="312" t="str">
        <f t="shared" si="12"/>
        <v>ПОВЫШЕННЫЙ</v>
      </c>
      <c r="AG46" s="273">
        <f t="shared" si="13"/>
        <v>15.625</v>
      </c>
      <c r="AH46" s="210">
        <f t="shared" si="14"/>
        <v>0.625</v>
      </c>
      <c r="AI46" s="374">
        <f t="shared" si="15"/>
        <v>15.625</v>
      </c>
      <c r="AJ46" s="375">
        <f t="shared" si="4"/>
        <v>74.621212121212125</v>
      </c>
      <c r="AK46" s="6"/>
      <c r="AL46" s="6"/>
      <c r="AM46" s="6"/>
      <c r="AN46" s="6"/>
      <c r="AO46" s="6"/>
      <c r="AP46" s="6"/>
    </row>
    <row r="47" spans="1:42" ht="12.75" customHeight="1" thickBot="1">
      <c r="A47" s="12">
        <f>IF('СПИСОК КЛАССА'!J47&gt;0,1,0)</f>
        <v>0</v>
      </c>
      <c r="B47" s="97">
        <v>28</v>
      </c>
      <c r="C47" s="98" t="str">
        <f>IF(NOT(ISBLANK('СПИСОК КЛАССА'!C47)),'СПИСОК КЛАССА'!C47,"")</f>
        <v/>
      </c>
      <c r="D47" s="131" t="str">
        <f>IF(NOT(ISBLANK('СПИСОК КЛАССА'!D47)),IF($A47=1,'СПИСОК КЛАССА'!D47, "УЧЕНИК НЕ ВЫПОЛНЯЛ РАБОТУ"),"")</f>
        <v/>
      </c>
      <c r="E47" s="149" t="str">
        <f>IF($C47&lt;&gt;"",'СПИСОК КЛАССА'!J47,"")</f>
        <v/>
      </c>
      <c r="F47" s="99" t="str">
        <f>IF(AND(OR($C47&lt;&gt;"",$D47&lt;&gt;""),$A47=1,$AA$6="ДА"),(IF(A47=1,IF(OR(AND(E47=1,'ОТВЕТЫ УЧАЩИХСЯ'!E47=1),AND(E47=2,'ОТВЕТЫ УЧАЩИХСЯ'!E47=2),AND(E47=3,'ОТВЕТЫ УЧАЩИХСЯ'!E47=4),AND(E47=4,'ОТВЕТЫ УЧАЩИХСЯ'!E47=2)),1,IF('ОТВЕТЫ УЧАЩИХСЯ'!E47="N",'ОТВЕТЫ УЧАЩИХСЯ'!E47,0)),"")),"")</f>
        <v/>
      </c>
      <c r="G47" s="151" t="str">
        <f>IF(AND(OR($C47&lt;&gt;"",$D47&lt;&gt;""),$A47=1,$AA$6="ДА"),(IF(A47=1,IF(OR(AND(E47=1,'ОТВЕТЫ УЧАЩИХСЯ'!F47=4),AND(E47=2,'ОТВЕТЫ УЧАЩИХСЯ'!F47=1),AND(E47=3,'ОТВЕТЫ УЧАЩИХСЯ'!F47=2),AND(E47=4,'ОТВЕТЫ УЧАЩИХСЯ'!F47=3)),1,IF('ОТВЕТЫ УЧАЩИХСЯ'!F47="N",'ОТВЕТЫ УЧАЩИХСЯ'!F47,0)),"")),"")</f>
        <v/>
      </c>
      <c r="H47" s="151" t="str">
        <f>IF(AND(OR($C47&lt;&gt;"",$D47&lt;&gt;""),$A47=1,$AA$6="ДА"),(IF(A47=1,IF(OR(AND(E47=1,'ОТВЕТЫ УЧАЩИХСЯ'!G47=4),AND(E47=2,'ОТВЕТЫ УЧАЩИХСЯ'!G47=3),AND(E47=3,'ОТВЕТЫ УЧАЩИХСЯ'!G47=4),AND(E47=4,'ОТВЕТЫ УЧАЩИХСЯ'!G47=4)),1,IF('ОТВЕТЫ УЧАЩИХСЯ'!G47="N",'ОТВЕТЫ УЧАЩИХСЯ'!G47,0)),"")),"")</f>
        <v/>
      </c>
      <c r="I47" s="151" t="str">
        <f>IF(AND(OR($C47&lt;&gt;"",$D47&lt;&gt;""),$A47=1,$AA$6="ДА"),(IF(A47=1,IF(OR(AND(E47=1,'ОТВЕТЫ УЧАЩИХСЯ'!H47=2),AND(E47=2,'ОТВЕТЫ УЧАЩИХСЯ'!H47=1),AND(E47=3,'ОТВЕТЫ УЧАЩИХСЯ'!H47=3),AND(E47=4,'ОТВЕТЫ УЧАЩИХСЯ'!H47=4)),1,IF('ОТВЕТЫ УЧАЩИХСЯ'!H47="N",'ОТВЕТЫ УЧАЩИХСЯ'!H47,0)),"")),"")</f>
        <v/>
      </c>
      <c r="J47" s="151" t="str">
        <f>IF(AND(OR($C47&lt;&gt;"",$D47&lt;&gt;""),$A47=1,$AA$6="ДА"),(IF(A47=1,IF(OR(AND(E47=1,'ОТВЕТЫ УЧАЩИХСЯ'!I47=3),AND(E47=2,'ОТВЕТЫ УЧАЩИХСЯ'!I47=4),AND(E47=3,'ОТВЕТЫ УЧАЩИХСЯ'!I47=3),AND(E47=4,'ОТВЕТЫ УЧАЩИХСЯ'!I47=1)),1,IF('ОТВЕТЫ УЧАЩИХСЯ'!I47="N",'ОТВЕТЫ УЧАЩИХСЯ'!I47,0)),"")),"")</f>
        <v/>
      </c>
      <c r="K47" s="151" t="str">
        <f>IF(AND(OR($C47&lt;&gt;"",$D47&lt;&gt;""),$A47=1,$AA$6="ДА"),(IF(A47=1,IF(OR(AND(E47=1,'ОТВЕТЫ УЧАЩИХСЯ'!J47=3),AND(E47=2,'ОТВЕТЫ УЧАЩИХСЯ'!J47=3),AND(E47=3,'ОТВЕТЫ УЧАЩИХСЯ'!J47=2),AND(E47=4,'ОТВЕТЫ УЧАЩИХСЯ'!J47=4)),1,IF('ОТВЕТЫ УЧАЩИХСЯ'!J47="N",'ОТВЕТЫ УЧАЩИХСЯ'!J47,0)),"")),"")</f>
        <v/>
      </c>
      <c r="L47" s="151" t="str">
        <f>IF(AND(OR($C47&lt;&gt;"",$D47&lt;&gt;""),$A47=1,$AA$6="ДА"),(IF(A47=1,IF(OR(AND(E47=1,'ОТВЕТЫ УЧАЩИХСЯ'!K47=2),AND(E47=2,'ОТВЕТЫ УЧАЩИХСЯ'!K47=4),AND(E47=3,'ОТВЕТЫ УЧАЩИХСЯ'!K47=1),AND(E47=4,'ОТВЕТЫ УЧАЩИХСЯ'!K47=3)),2,IF('ОТВЕТЫ УЧАЩИХСЯ'!K47="N",'ОТВЕТЫ УЧАЩИХСЯ'!K47,0)),"")),"")</f>
        <v/>
      </c>
      <c r="M47" s="151" t="str">
        <f>IF(AND(OR($C47&lt;&gt;"",$D47&lt;&gt;""),$A47=1,$AA$6="ДА"),(IF(A47=1,IF(OR(AND(E47=1,'ОТВЕТЫ УЧАЩИХСЯ'!L47=4),AND(E47=2,'ОТВЕТЫ УЧАЩИХСЯ'!L47=1),AND(E47=3,'ОТВЕТЫ УЧАЩИХСЯ'!L47=4),AND(E47=4,'ОТВЕТЫ УЧАЩИХСЯ'!L47=2)),2,IF('ОТВЕТЫ УЧАЩИХСЯ'!L47="N",'ОТВЕТЫ УЧАЩИХСЯ'!L47,0)),"")),"")</f>
        <v/>
      </c>
      <c r="N47" s="151" t="str">
        <f>IF(AND(OR($C47&lt;&gt;"",$D47&lt;&gt;""),$A47=1,$AA$6="ДА"),(IF(A47=1,IF(OR(AND(E47=1,'ОТВЕТЫ УЧАЩИХСЯ'!M47=1),AND(E47=2,'ОТВЕТЫ УЧАЩИХСЯ'!M47=3),AND(E47=3,'ОТВЕТЫ УЧАЩИХСЯ'!M47=3),AND(E47=4,'ОТВЕТЫ УЧАЩИХСЯ'!M47=1)),2,IF('ОТВЕТЫ УЧАЩИХСЯ'!M47="N",'ОТВЕТЫ УЧАЩИХСЯ'!M47,0)),"")),"")</f>
        <v/>
      </c>
      <c r="O47" s="151" t="str">
        <f>IF(AND(OR($C47&lt;&gt;"",$D47&lt;&gt;""),$A47=1,$AA$6="ДА"),(IF(A47=1,IF(OR(AND(E47=1,'ОТВЕТЫ УЧАЩИХСЯ'!N47=2),AND(E47=2,'ОТВЕТЫ УЧАЩИХСЯ'!N47=1),AND(E47=3,'ОТВЕТЫ УЧАЩИХСЯ'!N47=3),AND(E47=4,'ОТВЕТЫ УЧАЩИХСЯ'!N47=3)),1,IF('ОТВЕТЫ УЧАЩИХСЯ'!N47="N",'ОТВЕТЫ УЧАЩИХСЯ'!N47,0)),"")),"")</f>
        <v/>
      </c>
      <c r="P47" s="151" t="str">
        <f>IF(AND(OR($C47&lt;&gt;"",$D47&lt;&gt;""),$A47=1,$AA$6="ДА"),(IF(A47=1,IF(OR(AND(E47=1,'ОТВЕТЫ УЧАЩИХСЯ'!O47=3),AND(E47=2,'ОТВЕТЫ УЧАЩИХСЯ'!O47=4),AND(E47=3,'ОТВЕТЫ УЧАЩИХСЯ'!O47=2),AND(E47=4,'ОТВЕТЫ УЧАЩИХСЯ'!O47=2)),1,IF('ОТВЕТЫ УЧАЩИХСЯ'!O47="N",'ОТВЕТЫ УЧАЩИХСЯ'!O47,0)),"")),"")</f>
        <v/>
      </c>
      <c r="Q47" s="151" t="str">
        <f>IF(AND(OR($C47&lt;&gt;"",$D47&lt;&gt;""),$A47=1,$AA$6="ДА"),(IF(A47=1,IF(OR(AND(E47=1,'ОТВЕТЫ УЧАЩИХСЯ'!P47=4),AND(E47=2,'ОТВЕТЫ УЧАЩИХСЯ'!P47=2),AND(E47=3,'ОТВЕТЫ УЧАЩИХСЯ'!P47=3),AND(E47=4,'ОТВЕТЫ УЧАЩИХСЯ'!P47=2)),2,IF('ОТВЕТЫ УЧАЩИХСЯ'!P47="N",'ОТВЕТЫ УЧАЩИХСЯ'!P47,0)),"")),"")</f>
        <v/>
      </c>
      <c r="R47" s="151" t="str">
        <f>IF(AND(OR($C47&lt;&gt;"",$D47&lt;&gt;""),$A47=1,$AA$6="ДА"),(IF(A47=1,IF(OR(AND(E47=1,'ОТВЕТЫ УЧАЩИХСЯ'!Q47=4),AND(E47=2,'ОТВЕТЫ УЧАЩИХСЯ'!Q47=1),AND(E47=3,'ОТВЕТЫ УЧАЩИХСЯ'!Q47=3),AND(E47=4,'ОТВЕТЫ УЧАЩИХСЯ'!Q47=4)),1,IF('ОТВЕТЫ УЧАЩИХСЯ'!Q47="N",'ОТВЕТЫ УЧАЩИХСЯ'!Q47,0)),"")),"")</f>
        <v/>
      </c>
      <c r="S47" s="151" t="str">
        <f>IF(AND(OR($C47&lt;&gt;"",$D47&lt;&gt;""),$A47=1,$AA$6="ДА"),(IF(A47=1,IF(OR(AND(E47=1,'ОТВЕТЫ УЧАЩИХСЯ'!R47=3),AND(E47=2,'ОТВЕТЫ УЧАЩИХСЯ'!R47=4),AND(E47=3,'ОТВЕТЫ УЧАЩИХСЯ'!R47=2),AND(E47=4,'ОТВЕТЫ УЧАЩИХСЯ'!R47=1)),1,IF('ОТВЕТЫ УЧАЩИХСЯ'!R47="N",'ОТВЕТЫ УЧАЩИХСЯ'!R47,0)),"")),"")</f>
        <v/>
      </c>
      <c r="T47" s="151" t="str">
        <f>IF(AND(OR($C47&lt;&gt;"",$D47&lt;&gt;""),$A47=1,$AA$6="ДА"),(IF(A47=1,IF(OR(AND(E47=1,'ОТВЕТЫ УЧАЩИХСЯ'!S47=1),AND(E47=2,'ОТВЕТЫ УЧАЩИХСЯ'!S47=2),AND(E47=3,'ОТВЕТЫ УЧАЩИХСЯ'!S47=2),AND(E47=4,'ОТВЕТЫ УЧАЩИХСЯ'!S47=3)),1,IF('ОТВЕТЫ УЧАЩИХСЯ'!S47="N",'ОТВЕТЫ УЧАЩИХСЯ'!S47,0)),"")),"")</f>
        <v/>
      </c>
      <c r="U47" s="99" t="str">
        <f t="shared" si="5"/>
        <v/>
      </c>
      <c r="V47" s="99" t="str">
        <f>IF(AND(OR($C47&lt;&gt;"",$D47&lt;&gt;""),$A47=1,$AA$6="ДА"),(IF(A47=1,IF(OR(AND(E47=1,'ОТВЕТЫ УЧАЩИХСЯ'!T47=274),AND(E47=2,'ОТВЕТЫ УЧАЩИХСЯ'!T47=3),AND(E47=3,'ОТВЕТЫ УЧАЩИХСЯ'!T47=778),AND(E47=4,'ОТВЕТЫ УЧАЩИХСЯ'!T47=40)),1,IF('ОТВЕТЫ УЧАЩИХСЯ'!T47="N",'ОТВЕТЫ УЧАЩИХСЯ'!T47,0)),"")),"")</f>
        <v/>
      </c>
      <c r="W47" s="99" t="str">
        <f>IF(AND(OR($C47&lt;&gt;"",$D47&lt;&gt;""),$A47=1,$AA$6="ДА"),(IF(A47=1,IF(OR(AND(E47=1,'ОТВЕТЫ УЧАЩИХСЯ'!U47=49),AND(E47=2,'ОТВЕТЫ УЧАЩИХСЯ'!U47=2),AND(E47=3,'ОТВЕТЫ УЧАЩИХСЯ'!U47="САТУРН,ЮПИТЕР"),AND(E47=4,'ОТВЕТЫ УЧАЩИХСЯ'!U47=8)),1,IF('ОТВЕТЫ УЧАЩИХСЯ'!U47="N",'ОТВЕТЫ УЧАЩИХСЯ'!U47,0)),"")),"")</f>
        <v/>
      </c>
      <c r="X47" s="99" t="str">
        <f>IF(AND(OR($C47&lt;&gt;"",$D47&lt;&gt;""),$A47=1,$AA$6="ДА"),(IF(A47=1,IF(OR(AND(E47=1,'ОТВЕТЫ УЧАЩИХСЯ'!V47=20),AND(E47=2,'ОТВЕТЫ УЧАЩИХСЯ'!V47=20),AND(E47=3,'ОТВЕТЫ УЧАЩИХСЯ'!V47=22),AND(E47=4,'ОТВЕТЫ УЧАЩИХСЯ'!V47=85)),2,IF('ОТВЕТЫ УЧАЩИХСЯ'!V47="N",'ОТВЕТЫ УЧАЩИХСЯ'!V47,0)),"")),"")</f>
        <v/>
      </c>
      <c r="Y47" s="99" t="str">
        <f>IF(AND(OR($C47&lt;&gt;"",$D47&lt;&gt;""),$A47=1,$AA$6="ДА"),IF((ISBLANK($D47)),"",IF($A$20=1,'ОТВЕТЫ УЧАЩИХСЯ'!W47,"")),"")</f>
        <v/>
      </c>
      <c r="Z47" s="332" t="str">
        <f t="shared" si="6"/>
        <v/>
      </c>
      <c r="AA47" s="309" t="str">
        <f t="shared" si="7"/>
        <v/>
      </c>
      <c r="AB47" s="310" t="str">
        <f t="shared" si="8"/>
        <v/>
      </c>
      <c r="AC47" s="311" t="str">
        <f t="shared" si="9"/>
        <v/>
      </c>
      <c r="AD47" s="310" t="str">
        <f t="shared" si="10"/>
        <v/>
      </c>
      <c r="AE47" s="311" t="str">
        <f t="shared" si="11"/>
        <v/>
      </c>
      <c r="AF47" s="312" t="str">
        <f t="shared" si="12"/>
        <v/>
      </c>
      <c r="AG47" s="273">
        <f t="shared" si="13"/>
        <v>15.625</v>
      </c>
      <c r="AH47" s="210">
        <f t="shared" si="14"/>
        <v>0.625</v>
      </c>
      <c r="AI47" s="374">
        <f t="shared" si="15"/>
        <v>15.625</v>
      </c>
      <c r="AJ47" s="375">
        <f t="shared" si="4"/>
        <v>74.621212121212125</v>
      </c>
      <c r="AK47" s="6"/>
      <c r="AL47" s="6"/>
      <c r="AM47" s="6"/>
      <c r="AN47" s="6"/>
      <c r="AO47" s="6"/>
      <c r="AP47" s="6"/>
    </row>
    <row r="48" spans="1:42" ht="12.75" customHeight="1" thickBot="1">
      <c r="A48" s="12">
        <f>IF('СПИСОК КЛАССА'!J48&gt;0,1,0)</f>
        <v>0</v>
      </c>
      <c r="B48" s="97">
        <v>29</v>
      </c>
      <c r="C48" s="98" t="str">
        <f>IF(NOT(ISBLANK('СПИСОК КЛАССА'!C48)),'СПИСОК КЛАССА'!C48,"")</f>
        <v/>
      </c>
      <c r="D48" s="131" t="str">
        <f>IF(NOT(ISBLANK('СПИСОК КЛАССА'!D48)),IF($A48=1,'СПИСОК КЛАССА'!D48, "УЧЕНИК НЕ ВЫПОЛНЯЛ РАБОТУ"),"")</f>
        <v/>
      </c>
      <c r="E48" s="149" t="str">
        <f>IF($C48&lt;&gt;"",'СПИСОК КЛАССА'!J48,"")</f>
        <v/>
      </c>
      <c r="F48" s="99" t="str">
        <f>IF(AND(OR($C48&lt;&gt;"",$D48&lt;&gt;""),$A48=1,$AA$6="ДА"),(IF(A48=1,IF(OR(AND(E48=1,'ОТВЕТЫ УЧАЩИХСЯ'!E48=1),AND(E48=2,'ОТВЕТЫ УЧАЩИХСЯ'!E48=2),AND(E48=3,'ОТВЕТЫ УЧАЩИХСЯ'!E48=4),AND(E48=4,'ОТВЕТЫ УЧАЩИХСЯ'!E48=2)),1,IF('ОТВЕТЫ УЧАЩИХСЯ'!E48="N",'ОТВЕТЫ УЧАЩИХСЯ'!E48,0)),"")),"")</f>
        <v/>
      </c>
      <c r="G48" s="151" t="str">
        <f>IF(AND(OR($C48&lt;&gt;"",$D48&lt;&gt;""),$A48=1,$AA$6="ДА"),(IF(A48=1,IF(OR(AND(E48=1,'ОТВЕТЫ УЧАЩИХСЯ'!F48=4),AND(E48=2,'ОТВЕТЫ УЧАЩИХСЯ'!F48=1),AND(E48=3,'ОТВЕТЫ УЧАЩИХСЯ'!F48=2),AND(E48=4,'ОТВЕТЫ УЧАЩИХСЯ'!F48=3)),1,IF('ОТВЕТЫ УЧАЩИХСЯ'!F48="N",'ОТВЕТЫ УЧАЩИХСЯ'!F48,0)),"")),"")</f>
        <v/>
      </c>
      <c r="H48" s="151" t="str">
        <f>IF(AND(OR($C48&lt;&gt;"",$D48&lt;&gt;""),$A48=1,$AA$6="ДА"),(IF(A48=1,IF(OR(AND(E48=1,'ОТВЕТЫ УЧАЩИХСЯ'!G48=4),AND(E48=2,'ОТВЕТЫ УЧАЩИХСЯ'!G48=3),AND(E48=3,'ОТВЕТЫ УЧАЩИХСЯ'!G48=4),AND(E48=4,'ОТВЕТЫ УЧАЩИХСЯ'!G48=4)),1,IF('ОТВЕТЫ УЧАЩИХСЯ'!G48="N",'ОТВЕТЫ УЧАЩИХСЯ'!G48,0)),"")),"")</f>
        <v/>
      </c>
      <c r="I48" s="151" t="str">
        <f>IF(AND(OR($C48&lt;&gt;"",$D48&lt;&gt;""),$A48=1,$AA$6="ДА"),(IF(A48=1,IF(OR(AND(E48=1,'ОТВЕТЫ УЧАЩИХСЯ'!H48=2),AND(E48=2,'ОТВЕТЫ УЧАЩИХСЯ'!H48=1),AND(E48=3,'ОТВЕТЫ УЧАЩИХСЯ'!H48=3),AND(E48=4,'ОТВЕТЫ УЧАЩИХСЯ'!H48=4)),1,IF('ОТВЕТЫ УЧАЩИХСЯ'!H48="N",'ОТВЕТЫ УЧАЩИХСЯ'!H48,0)),"")),"")</f>
        <v/>
      </c>
      <c r="J48" s="151" t="str">
        <f>IF(AND(OR($C48&lt;&gt;"",$D48&lt;&gt;""),$A48=1,$AA$6="ДА"),(IF(A48=1,IF(OR(AND(E48=1,'ОТВЕТЫ УЧАЩИХСЯ'!I48=3),AND(E48=2,'ОТВЕТЫ УЧАЩИХСЯ'!I48=4),AND(E48=3,'ОТВЕТЫ УЧАЩИХСЯ'!I48=3),AND(E48=4,'ОТВЕТЫ УЧАЩИХСЯ'!I48=1)),1,IF('ОТВЕТЫ УЧАЩИХСЯ'!I48="N",'ОТВЕТЫ УЧАЩИХСЯ'!I48,0)),"")),"")</f>
        <v/>
      </c>
      <c r="K48" s="151" t="str">
        <f>IF(AND(OR($C48&lt;&gt;"",$D48&lt;&gt;""),$A48=1,$AA$6="ДА"),(IF(A48=1,IF(OR(AND(E48=1,'ОТВЕТЫ УЧАЩИХСЯ'!J48=3),AND(E48=2,'ОТВЕТЫ УЧАЩИХСЯ'!J48=3),AND(E48=3,'ОТВЕТЫ УЧАЩИХСЯ'!J48=2),AND(E48=4,'ОТВЕТЫ УЧАЩИХСЯ'!J48=4)),1,IF('ОТВЕТЫ УЧАЩИХСЯ'!J48="N",'ОТВЕТЫ УЧАЩИХСЯ'!J48,0)),"")),"")</f>
        <v/>
      </c>
      <c r="L48" s="151" t="str">
        <f>IF(AND(OR($C48&lt;&gt;"",$D48&lt;&gt;""),$A48=1,$AA$6="ДА"),(IF(A48=1,IF(OR(AND(E48=1,'ОТВЕТЫ УЧАЩИХСЯ'!K48=2),AND(E48=2,'ОТВЕТЫ УЧАЩИХСЯ'!K48=4),AND(E48=3,'ОТВЕТЫ УЧАЩИХСЯ'!K48=1),AND(E48=4,'ОТВЕТЫ УЧАЩИХСЯ'!K48=3)),2,IF('ОТВЕТЫ УЧАЩИХСЯ'!K48="N",'ОТВЕТЫ УЧАЩИХСЯ'!K48,0)),"")),"")</f>
        <v/>
      </c>
      <c r="M48" s="151" t="str">
        <f>IF(AND(OR($C48&lt;&gt;"",$D48&lt;&gt;""),$A48=1,$AA$6="ДА"),(IF(A48=1,IF(OR(AND(E48=1,'ОТВЕТЫ УЧАЩИХСЯ'!L48=4),AND(E48=2,'ОТВЕТЫ УЧАЩИХСЯ'!L48=1),AND(E48=3,'ОТВЕТЫ УЧАЩИХСЯ'!L48=4),AND(E48=4,'ОТВЕТЫ УЧАЩИХСЯ'!L48=2)),2,IF('ОТВЕТЫ УЧАЩИХСЯ'!L48="N",'ОТВЕТЫ УЧАЩИХСЯ'!L48,0)),"")),"")</f>
        <v/>
      </c>
      <c r="N48" s="151" t="str">
        <f>IF(AND(OR($C48&lt;&gt;"",$D48&lt;&gt;""),$A48=1,$AA$6="ДА"),(IF(A48=1,IF(OR(AND(E48=1,'ОТВЕТЫ УЧАЩИХСЯ'!M48=1),AND(E48=2,'ОТВЕТЫ УЧАЩИХСЯ'!M48=3),AND(E48=3,'ОТВЕТЫ УЧАЩИХСЯ'!M48=3),AND(E48=4,'ОТВЕТЫ УЧАЩИХСЯ'!M48=1)),2,IF('ОТВЕТЫ УЧАЩИХСЯ'!M48="N",'ОТВЕТЫ УЧАЩИХСЯ'!M48,0)),"")),"")</f>
        <v/>
      </c>
      <c r="O48" s="151" t="str">
        <f>IF(AND(OR($C48&lt;&gt;"",$D48&lt;&gt;""),$A48=1,$AA$6="ДА"),(IF(A48=1,IF(OR(AND(E48=1,'ОТВЕТЫ УЧАЩИХСЯ'!N48=2),AND(E48=2,'ОТВЕТЫ УЧАЩИХСЯ'!N48=1),AND(E48=3,'ОТВЕТЫ УЧАЩИХСЯ'!N48=3),AND(E48=4,'ОТВЕТЫ УЧАЩИХСЯ'!N48=3)),1,IF('ОТВЕТЫ УЧАЩИХСЯ'!N48="N",'ОТВЕТЫ УЧАЩИХСЯ'!N48,0)),"")),"")</f>
        <v/>
      </c>
      <c r="P48" s="151" t="str">
        <f>IF(AND(OR($C48&lt;&gt;"",$D48&lt;&gt;""),$A48=1,$AA$6="ДА"),(IF(A48=1,IF(OR(AND(E48=1,'ОТВЕТЫ УЧАЩИХСЯ'!O48=3),AND(E48=2,'ОТВЕТЫ УЧАЩИХСЯ'!O48=4),AND(E48=3,'ОТВЕТЫ УЧАЩИХСЯ'!O48=2),AND(E48=4,'ОТВЕТЫ УЧАЩИХСЯ'!O48=2)),1,IF('ОТВЕТЫ УЧАЩИХСЯ'!O48="N",'ОТВЕТЫ УЧАЩИХСЯ'!O48,0)),"")),"")</f>
        <v/>
      </c>
      <c r="Q48" s="151" t="str">
        <f>IF(AND(OR($C48&lt;&gt;"",$D48&lt;&gt;""),$A48=1,$AA$6="ДА"),(IF(A48=1,IF(OR(AND(E48=1,'ОТВЕТЫ УЧАЩИХСЯ'!P48=4),AND(E48=2,'ОТВЕТЫ УЧАЩИХСЯ'!P48=2),AND(E48=3,'ОТВЕТЫ УЧАЩИХСЯ'!P48=3),AND(E48=4,'ОТВЕТЫ УЧАЩИХСЯ'!P48=2)),2,IF('ОТВЕТЫ УЧАЩИХСЯ'!P48="N",'ОТВЕТЫ УЧАЩИХСЯ'!P48,0)),"")),"")</f>
        <v/>
      </c>
      <c r="R48" s="151" t="str">
        <f>IF(AND(OR($C48&lt;&gt;"",$D48&lt;&gt;""),$A48=1,$AA$6="ДА"),(IF(A48=1,IF(OR(AND(E48=1,'ОТВЕТЫ УЧАЩИХСЯ'!Q48=4),AND(E48=2,'ОТВЕТЫ УЧАЩИХСЯ'!Q48=1),AND(E48=3,'ОТВЕТЫ УЧАЩИХСЯ'!Q48=3),AND(E48=4,'ОТВЕТЫ УЧАЩИХСЯ'!Q48=4)),1,IF('ОТВЕТЫ УЧАЩИХСЯ'!Q48="N",'ОТВЕТЫ УЧАЩИХСЯ'!Q48,0)),"")),"")</f>
        <v/>
      </c>
      <c r="S48" s="151" t="str">
        <f>IF(AND(OR($C48&lt;&gt;"",$D48&lt;&gt;""),$A48=1,$AA$6="ДА"),(IF(A48=1,IF(OR(AND(E48=1,'ОТВЕТЫ УЧАЩИХСЯ'!R48=3),AND(E48=2,'ОТВЕТЫ УЧАЩИХСЯ'!R48=4),AND(E48=3,'ОТВЕТЫ УЧАЩИХСЯ'!R48=2),AND(E48=4,'ОТВЕТЫ УЧАЩИХСЯ'!R48=1)),1,IF('ОТВЕТЫ УЧАЩИХСЯ'!R48="N",'ОТВЕТЫ УЧАЩИХСЯ'!R48,0)),"")),"")</f>
        <v/>
      </c>
      <c r="T48" s="151" t="str">
        <f>IF(AND(OR($C48&lt;&gt;"",$D48&lt;&gt;""),$A48=1,$AA$6="ДА"),(IF(A48=1,IF(OR(AND(E48=1,'ОТВЕТЫ УЧАЩИХСЯ'!S48=1),AND(E48=2,'ОТВЕТЫ УЧАЩИХСЯ'!S48=2),AND(E48=3,'ОТВЕТЫ УЧАЩИХСЯ'!S48=2),AND(E48=4,'ОТВЕТЫ УЧАЩИХСЯ'!S48=3)),1,IF('ОТВЕТЫ УЧАЩИХСЯ'!S48="N",'ОТВЕТЫ УЧАЩИХСЯ'!S48,0)),"")),"")</f>
        <v/>
      </c>
      <c r="U48" s="99" t="str">
        <f t="shared" si="5"/>
        <v/>
      </c>
      <c r="V48" s="99" t="str">
        <f>IF(AND(OR($C48&lt;&gt;"",$D48&lt;&gt;""),$A48=1,$AA$6="ДА"),(IF(A48=1,IF(OR(AND(E48=1,'ОТВЕТЫ УЧАЩИХСЯ'!T48=274),AND(E48=2,'ОТВЕТЫ УЧАЩИХСЯ'!T48=3),AND(E48=3,'ОТВЕТЫ УЧАЩИХСЯ'!T48=778),AND(E48=4,'ОТВЕТЫ УЧАЩИХСЯ'!T48=40)),1,IF('ОТВЕТЫ УЧАЩИХСЯ'!T48="N",'ОТВЕТЫ УЧАЩИХСЯ'!T48,0)),"")),"")</f>
        <v/>
      </c>
      <c r="W48" s="99" t="str">
        <f>IF(AND(OR($C48&lt;&gt;"",$D48&lt;&gt;""),$A48=1,$AA$6="ДА"),(IF(A48=1,IF(OR(AND(E48=1,'ОТВЕТЫ УЧАЩИХСЯ'!U48=49),AND(E48=2,'ОТВЕТЫ УЧАЩИХСЯ'!U48=2),AND(E48=3,'ОТВЕТЫ УЧАЩИХСЯ'!U48="САТУРН,ЮПИТЕР"),AND(E48=4,'ОТВЕТЫ УЧАЩИХСЯ'!U48=8)),1,IF('ОТВЕТЫ УЧАЩИХСЯ'!U48="N",'ОТВЕТЫ УЧАЩИХСЯ'!U48,0)),"")),"")</f>
        <v/>
      </c>
      <c r="X48" s="99" t="str">
        <f>IF(AND(OR($C48&lt;&gt;"",$D48&lt;&gt;""),$A48=1,$AA$6="ДА"),(IF(A48=1,IF(OR(AND(E48=1,'ОТВЕТЫ УЧАЩИХСЯ'!V48=20),AND(E48=2,'ОТВЕТЫ УЧАЩИХСЯ'!V48=20),AND(E48=3,'ОТВЕТЫ УЧАЩИХСЯ'!V48=22),AND(E48=4,'ОТВЕТЫ УЧАЩИХСЯ'!V48=85)),2,IF('ОТВЕТЫ УЧАЩИХСЯ'!V48="N",'ОТВЕТЫ УЧАЩИХСЯ'!V48,0)),"")),"")</f>
        <v/>
      </c>
      <c r="Y48" s="99" t="str">
        <f>IF(AND(OR($C48&lt;&gt;"",$D48&lt;&gt;""),$A48=1,$AA$6="ДА"),IF((ISBLANK($D48)),"",IF($A$20=1,'ОТВЕТЫ УЧАЩИХСЯ'!W48,"")),"")</f>
        <v/>
      </c>
      <c r="Z48" s="332" t="str">
        <f t="shared" si="6"/>
        <v/>
      </c>
      <c r="AA48" s="309" t="str">
        <f t="shared" si="7"/>
        <v/>
      </c>
      <c r="AB48" s="310" t="str">
        <f t="shared" si="8"/>
        <v/>
      </c>
      <c r="AC48" s="311" t="str">
        <f t="shared" si="9"/>
        <v/>
      </c>
      <c r="AD48" s="310" t="str">
        <f t="shared" si="10"/>
        <v/>
      </c>
      <c r="AE48" s="311" t="str">
        <f t="shared" si="11"/>
        <v/>
      </c>
      <c r="AF48" s="312" t="str">
        <f t="shared" si="12"/>
        <v/>
      </c>
      <c r="AG48" s="273">
        <f t="shared" si="13"/>
        <v>15.625</v>
      </c>
      <c r="AH48" s="210">
        <f t="shared" si="14"/>
        <v>0.625</v>
      </c>
      <c r="AI48" s="374">
        <f t="shared" si="15"/>
        <v>15.625</v>
      </c>
      <c r="AJ48" s="375">
        <f t="shared" si="4"/>
        <v>74.621212121212125</v>
      </c>
      <c r="AK48" s="6"/>
      <c r="AL48" s="6"/>
      <c r="AM48" s="6"/>
      <c r="AN48" s="6"/>
      <c r="AO48" s="6"/>
      <c r="AP48" s="6"/>
    </row>
    <row r="49" spans="1:62" ht="12.75" customHeight="1" thickBot="1">
      <c r="A49" s="12">
        <f>IF('СПИСОК КЛАССА'!J49&gt;0,1,0)</f>
        <v>0</v>
      </c>
      <c r="B49" s="97">
        <v>30</v>
      </c>
      <c r="C49" s="98" t="str">
        <f>IF(NOT(ISBLANK('СПИСОК КЛАССА'!C49)),'СПИСОК КЛАССА'!C49,"")</f>
        <v/>
      </c>
      <c r="D49" s="131" t="str">
        <f>IF(NOT(ISBLANK('СПИСОК КЛАССА'!D49)),IF($A49=1,'СПИСОК КЛАССА'!D49, "УЧЕНИК НЕ ВЫПОЛНЯЛ РАБОТУ"),"")</f>
        <v/>
      </c>
      <c r="E49" s="149" t="str">
        <f>IF($C49&lt;&gt;"",'СПИСОК КЛАССА'!J49,"")</f>
        <v/>
      </c>
      <c r="F49" s="99" t="str">
        <f>IF(AND(OR($C49&lt;&gt;"",$D49&lt;&gt;""),$A49=1,$AA$6="ДА"),(IF(A49=1,IF(OR(AND(E49=1,'ОТВЕТЫ УЧАЩИХСЯ'!E49=1),AND(E49=2,'ОТВЕТЫ УЧАЩИХСЯ'!E49=2),AND(E49=3,'ОТВЕТЫ УЧАЩИХСЯ'!E49=4),AND(E49=4,'ОТВЕТЫ УЧАЩИХСЯ'!E49=2)),1,IF('ОТВЕТЫ УЧАЩИХСЯ'!E49="N",'ОТВЕТЫ УЧАЩИХСЯ'!E49,0)),"")),"")</f>
        <v/>
      </c>
      <c r="G49" s="151" t="str">
        <f>IF(AND(OR($C49&lt;&gt;"",$D49&lt;&gt;""),$A49=1,$AA$6="ДА"),(IF(A49=1,IF(OR(AND(E49=1,'ОТВЕТЫ УЧАЩИХСЯ'!F49=4),AND(E49=2,'ОТВЕТЫ УЧАЩИХСЯ'!F49=1),AND(E49=3,'ОТВЕТЫ УЧАЩИХСЯ'!F49=2),AND(E49=4,'ОТВЕТЫ УЧАЩИХСЯ'!F49=3)),1,IF('ОТВЕТЫ УЧАЩИХСЯ'!F49="N",'ОТВЕТЫ УЧАЩИХСЯ'!F49,0)),"")),"")</f>
        <v/>
      </c>
      <c r="H49" s="151" t="str">
        <f>IF(AND(OR($C49&lt;&gt;"",$D49&lt;&gt;""),$A49=1,$AA$6="ДА"),(IF(A49=1,IF(OR(AND(E49=1,'ОТВЕТЫ УЧАЩИХСЯ'!G49=4),AND(E49=2,'ОТВЕТЫ УЧАЩИХСЯ'!G49=3),AND(E49=3,'ОТВЕТЫ УЧАЩИХСЯ'!G49=4),AND(E49=4,'ОТВЕТЫ УЧАЩИХСЯ'!G49=4)),1,IF('ОТВЕТЫ УЧАЩИХСЯ'!G49="N",'ОТВЕТЫ УЧАЩИХСЯ'!G49,0)),"")),"")</f>
        <v/>
      </c>
      <c r="I49" s="151" t="str">
        <f>IF(AND(OR($C49&lt;&gt;"",$D49&lt;&gt;""),$A49=1,$AA$6="ДА"),(IF(A49=1,IF(OR(AND(E49=1,'ОТВЕТЫ УЧАЩИХСЯ'!H49=2),AND(E49=2,'ОТВЕТЫ УЧАЩИХСЯ'!H49=1),AND(E49=3,'ОТВЕТЫ УЧАЩИХСЯ'!H49=3),AND(E49=4,'ОТВЕТЫ УЧАЩИХСЯ'!H49=4)),1,IF('ОТВЕТЫ УЧАЩИХСЯ'!H49="N",'ОТВЕТЫ УЧАЩИХСЯ'!H49,0)),"")),"")</f>
        <v/>
      </c>
      <c r="J49" s="151" t="str">
        <f>IF(AND(OR($C49&lt;&gt;"",$D49&lt;&gt;""),$A49=1,$AA$6="ДА"),(IF(A49=1,IF(OR(AND(E49=1,'ОТВЕТЫ УЧАЩИХСЯ'!I49=3),AND(E49=2,'ОТВЕТЫ УЧАЩИХСЯ'!I49=4),AND(E49=3,'ОТВЕТЫ УЧАЩИХСЯ'!I49=3),AND(E49=4,'ОТВЕТЫ УЧАЩИХСЯ'!I49=1)),1,IF('ОТВЕТЫ УЧАЩИХСЯ'!I49="N",'ОТВЕТЫ УЧАЩИХСЯ'!I49,0)),"")),"")</f>
        <v/>
      </c>
      <c r="K49" s="151" t="str">
        <f>IF(AND(OR($C49&lt;&gt;"",$D49&lt;&gt;""),$A49=1,$AA$6="ДА"),(IF(A49=1,IF(OR(AND(E49=1,'ОТВЕТЫ УЧАЩИХСЯ'!J49=3),AND(E49=2,'ОТВЕТЫ УЧАЩИХСЯ'!J49=3),AND(E49=3,'ОТВЕТЫ УЧАЩИХСЯ'!J49=2),AND(E49=4,'ОТВЕТЫ УЧАЩИХСЯ'!J49=4)),1,IF('ОТВЕТЫ УЧАЩИХСЯ'!J49="N",'ОТВЕТЫ УЧАЩИХСЯ'!J49,0)),"")),"")</f>
        <v/>
      </c>
      <c r="L49" s="151" t="str">
        <f>IF(AND(OR($C49&lt;&gt;"",$D49&lt;&gt;""),$A49=1,$AA$6="ДА"),(IF(A49=1,IF(OR(AND(E49=1,'ОТВЕТЫ УЧАЩИХСЯ'!K49=2),AND(E49=2,'ОТВЕТЫ УЧАЩИХСЯ'!K49=4),AND(E49=3,'ОТВЕТЫ УЧАЩИХСЯ'!K49=1),AND(E49=4,'ОТВЕТЫ УЧАЩИХСЯ'!K49=3)),2,IF('ОТВЕТЫ УЧАЩИХСЯ'!K49="N",'ОТВЕТЫ УЧАЩИХСЯ'!K49,0)),"")),"")</f>
        <v/>
      </c>
      <c r="M49" s="151" t="str">
        <f>IF(AND(OR($C49&lt;&gt;"",$D49&lt;&gt;""),$A49=1,$AA$6="ДА"),(IF(A49=1,IF(OR(AND(E49=1,'ОТВЕТЫ УЧАЩИХСЯ'!L49=4),AND(E49=2,'ОТВЕТЫ УЧАЩИХСЯ'!L49=1),AND(E49=3,'ОТВЕТЫ УЧАЩИХСЯ'!L49=4),AND(E49=4,'ОТВЕТЫ УЧАЩИХСЯ'!L49=2)),2,IF('ОТВЕТЫ УЧАЩИХСЯ'!L49="N",'ОТВЕТЫ УЧАЩИХСЯ'!L49,0)),"")),"")</f>
        <v/>
      </c>
      <c r="N49" s="151" t="str">
        <f>IF(AND(OR($C49&lt;&gt;"",$D49&lt;&gt;""),$A49=1,$AA$6="ДА"),(IF(A49=1,IF(OR(AND(E49=1,'ОТВЕТЫ УЧАЩИХСЯ'!M49=1),AND(E49=2,'ОТВЕТЫ УЧАЩИХСЯ'!M49=3),AND(E49=3,'ОТВЕТЫ УЧАЩИХСЯ'!M49=3),AND(E49=4,'ОТВЕТЫ УЧАЩИХСЯ'!M49=1)),2,IF('ОТВЕТЫ УЧАЩИХСЯ'!M49="N",'ОТВЕТЫ УЧАЩИХСЯ'!M49,0)),"")),"")</f>
        <v/>
      </c>
      <c r="O49" s="151" t="str">
        <f>IF(AND(OR($C49&lt;&gt;"",$D49&lt;&gt;""),$A49=1,$AA$6="ДА"),(IF(A49=1,IF(OR(AND(E49=1,'ОТВЕТЫ УЧАЩИХСЯ'!N49=2),AND(E49=2,'ОТВЕТЫ УЧАЩИХСЯ'!N49=1),AND(E49=3,'ОТВЕТЫ УЧАЩИХСЯ'!N49=3),AND(E49=4,'ОТВЕТЫ УЧАЩИХСЯ'!N49=3)),1,IF('ОТВЕТЫ УЧАЩИХСЯ'!N49="N",'ОТВЕТЫ УЧАЩИХСЯ'!N49,0)),"")),"")</f>
        <v/>
      </c>
      <c r="P49" s="151" t="str">
        <f>IF(AND(OR($C49&lt;&gt;"",$D49&lt;&gt;""),$A49=1,$AA$6="ДА"),(IF(A49=1,IF(OR(AND(E49=1,'ОТВЕТЫ УЧАЩИХСЯ'!O49=3),AND(E49=2,'ОТВЕТЫ УЧАЩИХСЯ'!O49=4),AND(E49=3,'ОТВЕТЫ УЧАЩИХСЯ'!O49=2),AND(E49=4,'ОТВЕТЫ УЧАЩИХСЯ'!O49=2)),1,IF('ОТВЕТЫ УЧАЩИХСЯ'!O49="N",'ОТВЕТЫ УЧАЩИХСЯ'!O49,0)),"")),"")</f>
        <v/>
      </c>
      <c r="Q49" s="151" t="str">
        <f>IF(AND(OR($C49&lt;&gt;"",$D49&lt;&gt;""),$A49=1,$AA$6="ДА"),(IF(A49=1,IF(OR(AND(E49=1,'ОТВЕТЫ УЧАЩИХСЯ'!P49=4),AND(E49=2,'ОТВЕТЫ УЧАЩИХСЯ'!P49=2),AND(E49=3,'ОТВЕТЫ УЧАЩИХСЯ'!P49=3),AND(E49=4,'ОТВЕТЫ УЧАЩИХСЯ'!P49=2)),2,IF('ОТВЕТЫ УЧАЩИХСЯ'!P49="N",'ОТВЕТЫ УЧАЩИХСЯ'!P49,0)),"")),"")</f>
        <v/>
      </c>
      <c r="R49" s="151" t="str">
        <f>IF(AND(OR($C49&lt;&gt;"",$D49&lt;&gt;""),$A49=1,$AA$6="ДА"),(IF(A49=1,IF(OR(AND(E49=1,'ОТВЕТЫ УЧАЩИХСЯ'!Q49=4),AND(E49=2,'ОТВЕТЫ УЧАЩИХСЯ'!Q49=1),AND(E49=3,'ОТВЕТЫ УЧАЩИХСЯ'!Q49=3),AND(E49=4,'ОТВЕТЫ УЧАЩИХСЯ'!Q49=4)),1,IF('ОТВЕТЫ УЧАЩИХСЯ'!Q49="N",'ОТВЕТЫ УЧАЩИХСЯ'!Q49,0)),"")),"")</f>
        <v/>
      </c>
      <c r="S49" s="151" t="str">
        <f>IF(AND(OR($C49&lt;&gt;"",$D49&lt;&gt;""),$A49=1,$AA$6="ДА"),(IF(A49=1,IF(OR(AND(E49=1,'ОТВЕТЫ УЧАЩИХСЯ'!R49=3),AND(E49=2,'ОТВЕТЫ УЧАЩИХСЯ'!R49=4),AND(E49=3,'ОТВЕТЫ УЧАЩИХСЯ'!R49=2),AND(E49=4,'ОТВЕТЫ УЧАЩИХСЯ'!R49=1)),1,IF('ОТВЕТЫ УЧАЩИХСЯ'!R49="N",'ОТВЕТЫ УЧАЩИХСЯ'!R49,0)),"")),"")</f>
        <v/>
      </c>
      <c r="T49" s="151" t="str">
        <f>IF(AND(OR($C49&lt;&gt;"",$D49&lt;&gt;""),$A49=1,$AA$6="ДА"),(IF(A49=1,IF(OR(AND(E49=1,'ОТВЕТЫ УЧАЩИХСЯ'!S49=1),AND(E49=2,'ОТВЕТЫ УЧАЩИХСЯ'!S49=2),AND(E49=3,'ОТВЕТЫ УЧАЩИХСЯ'!S49=2),AND(E49=4,'ОТВЕТЫ УЧАЩИХСЯ'!S49=3)),1,IF('ОТВЕТЫ УЧАЩИХСЯ'!S49="N",'ОТВЕТЫ УЧАЩИХСЯ'!S49,0)),"")),"")</f>
        <v/>
      </c>
      <c r="U49" s="99" t="str">
        <f t="shared" si="5"/>
        <v/>
      </c>
      <c r="V49" s="99" t="str">
        <f>IF(AND(OR($C49&lt;&gt;"",$D49&lt;&gt;""),$A49=1,$AA$6="ДА"),(IF(A49=1,IF(OR(AND(E49=1,'ОТВЕТЫ УЧАЩИХСЯ'!T49=274),AND(E49=2,'ОТВЕТЫ УЧАЩИХСЯ'!T49=3),AND(E49=3,'ОТВЕТЫ УЧАЩИХСЯ'!T49=778),AND(E49=4,'ОТВЕТЫ УЧАЩИХСЯ'!T49=40)),1,IF('ОТВЕТЫ УЧАЩИХСЯ'!T49="N",'ОТВЕТЫ УЧАЩИХСЯ'!T49,0)),"")),"")</f>
        <v/>
      </c>
      <c r="W49" s="99" t="str">
        <f>IF(AND(OR($C49&lt;&gt;"",$D49&lt;&gt;""),$A49=1,$AA$6="ДА"),(IF(A49=1,IF(OR(AND(E49=1,'ОТВЕТЫ УЧАЩИХСЯ'!U49=49),AND(E49=2,'ОТВЕТЫ УЧАЩИХСЯ'!U49=2),AND(E49=3,'ОТВЕТЫ УЧАЩИХСЯ'!U49="САТУРН,ЮПИТЕР"),AND(E49=4,'ОТВЕТЫ УЧАЩИХСЯ'!U49=8)),1,IF('ОТВЕТЫ УЧАЩИХСЯ'!U49="N",'ОТВЕТЫ УЧАЩИХСЯ'!U49,0)),"")),"")</f>
        <v/>
      </c>
      <c r="X49" s="99" t="str">
        <f>IF(AND(OR($C49&lt;&gt;"",$D49&lt;&gt;""),$A49=1,$AA$6="ДА"),(IF(A49=1,IF(OR(AND(E49=1,'ОТВЕТЫ УЧАЩИХСЯ'!V49=20),AND(E49=2,'ОТВЕТЫ УЧАЩИХСЯ'!V49=20),AND(E49=3,'ОТВЕТЫ УЧАЩИХСЯ'!V49=22),AND(E49=4,'ОТВЕТЫ УЧАЩИХСЯ'!V49=85)),2,IF('ОТВЕТЫ УЧАЩИХСЯ'!V49="N",'ОТВЕТЫ УЧАЩИХСЯ'!V49,0)),"")),"")</f>
        <v/>
      </c>
      <c r="Y49" s="99" t="str">
        <f>IF(AND(OR($C49&lt;&gt;"",$D49&lt;&gt;""),$A49=1,$AA$6="ДА"),IF((ISBLANK($D49)),"",IF($A$20=1,'ОТВЕТЫ УЧАЩИХСЯ'!W49,"")),"")</f>
        <v/>
      </c>
      <c r="Z49" s="332" t="str">
        <f t="shared" si="6"/>
        <v/>
      </c>
      <c r="AA49" s="309" t="str">
        <f t="shared" si="7"/>
        <v/>
      </c>
      <c r="AB49" s="310" t="str">
        <f t="shared" si="8"/>
        <v/>
      </c>
      <c r="AC49" s="311" t="str">
        <f t="shared" si="9"/>
        <v/>
      </c>
      <c r="AD49" s="310" t="str">
        <f t="shared" si="10"/>
        <v/>
      </c>
      <c r="AE49" s="311" t="str">
        <f t="shared" si="11"/>
        <v/>
      </c>
      <c r="AF49" s="312" t="str">
        <f t="shared" si="12"/>
        <v/>
      </c>
      <c r="AG49" s="273">
        <f t="shared" si="13"/>
        <v>15.625</v>
      </c>
      <c r="AH49" s="210">
        <f t="shared" si="14"/>
        <v>0.625</v>
      </c>
      <c r="AI49" s="374">
        <f t="shared" si="15"/>
        <v>15.625</v>
      </c>
      <c r="AJ49" s="375">
        <f t="shared" si="4"/>
        <v>74.621212121212125</v>
      </c>
      <c r="AK49" s="6"/>
      <c r="AL49" s="6"/>
      <c r="AM49" s="6"/>
      <c r="AN49" s="6"/>
      <c r="AO49" s="6"/>
      <c r="AP49" s="6"/>
    </row>
    <row r="50" spans="1:62" ht="12.75" customHeight="1" thickBot="1">
      <c r="A50" s="12">
        <f>IF('СПИСОК КЛАССА'!J50&gt;0,1,0)</f>
        <v>0</v>
      </c>
      <c r="B50" s="97">
        <v>31</v>
      </c>
      <c r="C50" s="98" t="str">
        <f>IF(NOT(ISBLANK('СПИСОК КЛАССА'!C50)),'СПИСОК КЛАССА'!C50,"")</f>
        <v/>
      </c>
      <c r="D50" s="131" t="str">
        <f>IF(NOT(ISBLANK('СПИСОК КЛАССА'!D50)),IF($A50=1,'СПИСОК КЛАССА'!D50, "УЧЕНИК НЕ ВЫПОЛНЯЛ РАБОТУ"),"")</f>
        <v/>
      </c>
      <c r="E50" s="149" t="str">
        <f>IF($C50&lt;&gt;"",'СПИСОК КЛАССА'!J50,"")</f>
        <v/>
      </c>
      <c r="F50" s="99" t="str">
        <f>IF(AND(OR($C50&lt;&gt;"",$D50&lt;&gt;""),$A50=1,$AA$6="ДА"),(IF(A50=1,IF(OR(AND(E50=1,'ОТВЕТЫ УЧАЩИХСЯ'!E50=1),AND(E50=2,'ОТВЕТЫ УЧАЩИХСЯ'!E50=2),AND(E50=3,'ОТВЕТЫ УЧАЩИХСЯ'!E50=4),AND(E50=4,'ОТВЕТЫ УЧАЩИХСЯ'!E50=2)),1,IF('ОТВЕТЫ УЧАЩИХСЯ'!E50="N",'ОТВЕТЫ УЧАЩИХСЯ'!E50,0)),"")),"")</f>
        <v/>
      </c>
      <c r="G50" s="151" t="str">
        <f>IF(AND(OR($C50&lt;&gt;"",$D50&lt;&gt;""),$A50=1,$AA$6="ДА"),(IF(A50=1,IF(OR(AND(E50=1,'ОТВЕТЫ УЧАЩИХСЯ'!F50=4),AND(E50=2,'ОТВЕТЫ УЧАЩИХСЯ'!F50=1),AND(E50=3,'ОТВЕТЫ УЧАЩИХСЯ'!F50=2),AND(E50=4,'ОТВЕТЫ УЧАЩИХСЯ'!F50=3)),1,IF('ОТВЕТЫ УЧАЩИХСЯ'!F50="N",'ОТВЕТЫ УЧАЩИХСЯ'!F50,0)),"")),"")</f>
        <v/>
      </c>
      <c r="H50" s="151" t="str">
        <f>IF(AND(OR($C50&lt;&gt;"",$D50&lt;&gt;""),$A50=1,$AA$6="ДА"),(IF(A50=1,IF(OR(AND(E50=1,'ОТВЕТЫ УЧАЩИХСЯ'!G50=4),AND(E50=2,'ОТВЕТЫ УЧАЩИХСЯ'!G50=3),AND(E50=3,'ОТВЕТЫ УЧАЩИХСЯ'!G50=4),AND(E50=4,'ОТВЕТЫ УЧАЩИХСЯ'!G50=4)),1,IF('ОТВЕТЫ УЧАЩИХСЯ'!G50="N",'ОТВЕТЫ УЧАЩИХСЯ'!G50,0)),"")),"")</f>
        <v/>
      </c>
      <c r="I50" s="151" t="str">
        <f>IF(AND(OR($C50&lt;&gt;"",$D50&lt;&gt;""),$A50=1,$AA$6="ДА"),(IF(A50=1,IF(OR(AND(E50=1,'ОТВЕТЫ УЧАЩИХСЯ'!H50=2),AND(E50=2,'ОТВЕТЫ УЧАЩИХСЯ'!H50=1),AND(E50=3,'ОТВЕТЫ УЧАЩИХСЯ'!H50=3),AND(E50=4,'ОТВЕТЫ УЧАЩИХСЯ'!H50=4)),1,IF('ОТВЕТЫ УЧАЩИХСЯ'!H50="N",'ОТВЕТЫ УЧАЩИХСЯ'!H50,0)),"")),"")</f>
        <v/>
      </c>
      <c r="J50" s="151" t="str">
        <f>IF(AND(OR($C50&lt;&gt;"",$D50&lt;&gt;""),$A50=1,$AA$6="ДА"),(IF(A50=1,IF(OR(AND(E50=1,'ОТВЕТЫ УЧАЩИХСЯ'!I50=3),AND(E50=2,'ОТВЕТЫ УЧАЩИХСЯ'!I50=4),AND(E50=3,'ОТВЕТЫ УЧАЩИХСЯ'!I50=3),AND(E50=4,'ОТВЕТЫ УЧАЩИХСЯ'!I50=1)),1,IF('ОТВЕТЫ УЧАЩИХСЯ'!I50="N",'ОТВЕТЫ УЧАЩИХСЯ'!I50,0)),"")),"")</f>
        <v/>
      </c>
      <c r="K50" s="151" t="str">
        <f>IF(AND(OR($C50&lt;&gt;"",$D50&lt;&gt;""),$A50=1,$AA$6="ДА"),(IF(A50=1,IF(OR(AND(E50=1,'ОТВЕТЫ УЧАЩИХСЯ'!J50=3),AND(E50=2,'ОТВЕТЫ УЧАЩИХСЯ'!J50=3),AND(E50=3,'ОТВЕТЫ УЧАЩИХСЯ'!J50=2),AND(E50=4,'ОТВЕТЫ УЧАЩИХСЯ'!J50=4)),1,IF('ОТВЕТЫ УЧАЩИХСЯ'!J50="N",'ОТВЕТЫ УЧАЩИХСЯ'!J50,0)),"")),"")</f>
        <v/>
      </c>
      <c r="L50" s="151" t="str">
        <f>IF(AND(OR($C50&lt;&gt;"",$D50&lt;&gt;""),$A50=1,$AA$6="ДА"),(IF(A50=1,IF(OR(AND(E50=1,'ОТВЕТЫ УЧАЩИХСЯ'!K50=2),AND(E50=2,'ОТВЕТЫ УЧАЩИХСЯ'!K50=4),AND(E50=3,'ОТВЕТЫ УЧАЩИХСЯ'!K50=1),AND(E50=4,'ОТВЕТЫ УЧАЩИХСЯ'!K50=3)),2,IF('ОТВЕТЫ УЧАЩИХСЯ'!K50="N",'ОТВЕТЫ УЧАЩИХСЯ'!K50,0)),"")),"")</f>
        <v/>
      </c>
      <c r="M50" s="151" t="str">
        <f>IF(AND(OR($C50&lt;&gt;"",$D50&lt;&gt;""),$A50=1,$AA$6="ДА"),(IF(A50=1,IF(OR(AND(E50=1,'ОТВЕТЫ УЧАЩИХСЯ'!L50=4),AND(E50=2,'ОТВЕТЫ УЧАЩИХСЯ'!L50=1),AND(E50=3,'ОТВЕТЫ УЧАЩИХСЯ'!L50=4),AND(E50=4,'ОТВЕТЫ УЧАЩИХСЯ'!L50=2)),2,IF('ОТВЕТЫ УЧАЩИХСЯ'!L50="N",'ОТВЕТЫ УЧАЩИХСЯ'!L50,0)),"")),"")</f>
        <v/>
      </c>
      <c r="N50" s="151" t="str">
        <f>IF(AND(OR($C50&lt;&gt;"",$D50&lt;&gt;""),$A50=1,$AA$6="ДА"),(IF(A50=1,IF(OR(AND(E50=1,'ОТВЕТЫ УЧАЩИХСЯ'!M50=1),AND(E50=2,'ОТВЕТЫ УЧАЩИХСЯ'!M50=3),AND(E50=3,'ОТВЕТЫ УЧАЩИХСЯ'!M50=3),AND(E50=4,'ОТВЕТЫ УЧАЩИХСЯ'!M50=1)),2,IF('ОТВЕТЫ УЧАЩИХСЯ'!M50="N",'ОТВЕТЫ УЧАЩИХСЯ'!M50,0)),"")),"")</f>
        <v/>
      </c>
      <c r="O50" s="151" t="str">
        <f>IF(AND(OR($C50&lt;&gt;"",$D50&lt;&gt;""),$A50=1,$AA$6="ДА"),(IF(A50=1,IF(OR(AND(E50=1,'ОТВЕТЫ УЧАЩИХСЯ'!N50=2),AND(E50=2,'ОТВЕТЫ УЧАЩИХСЯ'!N50=1),AND(E50=3,'ОТВЕТЫ УЧАЩИХСЯ'!N50=3),AND(E50=4,'ОТВЕТЫ УЧАЩИХСЯ'!N50=3)),1,IF('ОТВЕТЫ УЧАЩИХСЯ'!N50="N",'ОТВЕТЫ УЧАЩИХСЯ'!N50,0)),"")),"")</f>
        <v/>
      </c>
      <c r="P50" s="151" t="str">
        <f>IF(AND(OR($C50&lt;&gt;"",$D50&lt;&gt;""),$A50=1,$AA$6="ДА"),(IF(A50=1,IF(OR(AND(E50=1,'ОТВЕТЫ УЧАЩИХСЯ'!O50=3),AND(E50=2,'ОТВЕТЫ УЧАЩИХСЯ'!O50=4),AND(E50=3,'ОТВЕТЫ УЧАЩИХСЯ'!O50=2),AND(E50=4,'ОТВЕТЫ УЧАЩИХСЯ'!O50=2)),1,IF('ОТВЕТЫ УЧАЩИХСЯ'!O50="N",'ОТВЕТЫ УЧАЩИХСЯ'!O50,0)),"")),"")</f>
        <v/>
      </c>
      <c r="Q50" s="151" t="str">
        <f>IF(AND(OR($C50&lt;&gt;"",$D50&lt;&gt;""),$A50=1,$AA$6="ДА"),(IF(A50=1,IF(OR(AND(E50=1,'ОТВЕТЫ УЧАЩИХСЯ'!P50=4),AND(E50=2,'ОТВЕТЫ УЧАЩИХСЯ'!P50=2),AND(E50=3,'ОТВЕТЫ УЧАЩИХСЯ'!P50=3),AND(E50=4,'ОТВЕТЫ УЧАЩИХСЯ'!P50=2)),2,IF('ОТВЕТЫ УЧАЩИХСЯ'!P50="N",'ОТВЕТЫ УЧАЩИХСЯ'!P50,0)),"")),"")</f>
        <v/>
      </c>
      <c r="R50" s="151" t="str">
        <f>IF(AND(OR($C50&lt;&gt;"",$D50&lt;&gt;""),$A50=1,$AA$6="ДА"),(IF(A50=1,IF(OR(AND(E50=1,'ОТВЕТЫ УЧАЩИХСЯ'!Q50=4),AND(E50=2,'ОТВЕТЫ УЧАЩИХСЯ'!Q50=1),AND(E50=3,'ОТВЕТЫ УЧАЩИХСЯ'!Q50=3),AND(E50=4,'ОТВЕТЫ УЧАЩИХСЯ'!Q50=4)),1,IF('ОТВЕТЫ УЧАЩИХСЯ'!Q50="N",'ОТВЕТЫ УЧАЩИХСЯ'!Q50,0)),"")),"")</f>
        <v/>
      </c>
      <c r="S50" s="151" t="str">
        <f>IF(AND(OR($C50&lt;&gt;"",$D50&lt;&gt;""),$A50=1,$AA$6="ДА"),(IF(A50=1,IF(OR(AND(E50=1,'ОТВЕТЫ УЧАЩИХСЯ'!R50=3),AND(E50=2,'ОТВЕТЫ УЧАЩИХСЯ'!R50=4),AND(E50=3,'ОТВЕТЫ УЧАЩИХСЯ'!R50=2),AND(E50=4,'ОТВЕТЫ УЧАЩИХСЯ'!R50=1)),1,IF('ОТВЕТЫ УЧАЩИХСЯ'!R50="N",'ОТВЕТЫ УЧАЩИХСЯ'!R50,0)),"")),"")</f>
        <v/>
      </c>
      <c r="T50" s="151" t="str">
        <f>IF(AND(OR($C50&lt;&gt;"",$D50&lt;&gt;""),$A50=1,$AA$6="ДА"),(IF(A50=1,IF(OR(AND(E50=1,'ОТВЕТЫ УЧАЩИХСЯ'!S50=1),AND(E50=2,'ОТВЕТЫ УЧАЩИХСЯ'!S50=2),AND(E50=3,'ОТВЕТЫ УЧАЩИХСЯ'!S50=2),AND(E50=4,'ОТВЕТЫ УЧАЩИХСЯ'!S50=3)),1,IF('ОТВЕТЫ УЧАЩИХСЯ'!S50="N",'ОТВЕТЫ УЧАЩИХСЯ'!S50,0)),"")),"")</f>
        <v/>
      </c>
      <c r="U50" s="99" t="str">
        <f t="shared" si="5"/>
        <v/>
      </c>
      <c r="V50" s="99" t="str">
        <f>IF(AND(OR($C50&lt;&gt;"",$D50&lt;&gt;""),$A50=1,$AA$6="ДА"),(IF(A50=1,IF(OR(AND(E50=1,'ОТВЕТЫ УЧАЩИХСЯ'!T50=274),AND(E50=2,'ОТВЕТЫ УЧАЩИХСЯ'!T50=3),AND(E50=3,'ОТВЕТЫ УЧАЩИХСЯ'!T50=778),AND(E50=4,'ОТВЕТЫ УЧАЩИХСЯ'!T50=40)),1,IF('ОТВЕТЫ УЧАЩИХСЯ'!T50="N",'ОТВЕТЫ УЧАЩИХСЯ'!T50,0)),"")),"")</f>
        <v/>
      </c>
      <c r="W50" s="99" t="str">
        <f>IF(AND(OR($C50&lt;&gt;"",$D50&lt;&gt;""),$A50=1,$AA$6="ДА"),(IF(A50=1,IF(OR(AND(E50=1,'ОТВЕТЫ УЧАЩИХСЯ'!U50=49),AND(E50=2,'ОТВЕТЫ УЧАЩИХСЯ'!U50=2),AND(E50=3,'ОТВЕТЫ УЧАЩИХСЯ'!U50="САТУРН,ЮПИТЕР"),AND(E50=4,'ОТВЕТЫ УЧАЩИХСЯ'!U50=8)),1,IF('ОТВЕТЫ УЧАЩИХСЯ'!U50="N",'ОТВЕТЫ УЧАЩИХСЯ'!U50,0)),"")),"")</f>
        <v/>
      </c>
      <c r="X50" s="99" t="str">
        <f>IF(AND(OR($C50&lt;&gt;"",$D50&lt;&gt;""),$A50=1,$AA$6="ДА"),(IF(A50=1,IF(OR(AND(E50=1,'ОТВЕТЫ УЧАЩИХСЯ'!V50=20),AND(E50=2,'ОТВЕТЫ УЧАЩИХСЯ'!V50=20),AND(E50=3,'ОТВЕТЫ УЧАЩИХСЯ'!V50=22),AND(E50=4,'ОТВЕТЫ УЧАЩИХСЯ'!V50=85)),2,IF('ОТВЕТЫ УЧАЩИХСЯ'!V50="N",'ОТВЕТЫ УЧАЩИХСЯ'!V50,0)),"")),"")</f>
        <v/>
      </c>
      <c r="Y50" s="99" t="str">
        <f>IF(AND(OR($C50&lt;&gt;"",$D50&lt;&gt;""),$A50=1,$AA$6="ДА"),IF((ISBLANK($D50)),"",IF($A$20=1,'ОТВЕТЫ УЧАЩИХСЯ'!W50,"")),"")</f>
        <v/>
      </c>
      <c r="Z50" s="332" t="str">
        <f t="shared" si="6"/>
        <v/>
      </c>
      <c r="AA50" s="309" t="str">
        <f t="shared" si="7"/>
        <v/>
      </c>
      <c r="AB50" s="310" t="str">
        <f t="shared" si="8"/>
        <v/>
      </c>
      <c r="AC50" s="311" t="str">
        <f t="shared" si="9"/>
        <v/>
      </c>
      <c r="AD50" s="310" t="str">
        <f t="shared" si="10"/>
        <v/>
      </c>
      <c r="AE50" s="311" t="str">
        <f t="shared" si="11"/>
        <v/>
      </c>
      <c r="AF50" s="312" t="str">
        <f t="shared" si="12"/>
        <v/>
      </c>
      <c r="AG50" s="273">
        <f t="shared" si="13"/>
        <v>15.625</v>
      </c>
      <c r="AH50" s="210">
        <f t="shared" si="14"/>
        <v>0.625</v>
      </c>
      <c r="AI50" s="374">
        <f t="shared" si="15"/>
        <v>15.625</v>
      </c>
      <c r="AJ50" s="375">
        <f t="shared" si="4"/>
        <v>74.621212121212125</v>
      </c>
      <c r="AK50" s="6"/>
      <c r="AL50" s="6"/>
      <c r="AM50" s="6"/>
      <c r="AN50" s="6"/>
      <c r="AO50" s="6"/>
      <c r="AP50" s="6"/>
    </row>
    <row r="51" spans="1:62" ht="12.75" customHeight="1" thickBot="1">
      <c r="A51" s="12">
        <f>IF('СПИСОК КЛАССА'!J51&gt;0,1,0)</f>
        <v>0</v>
      </c>
      <c r="B51" s="97">
        <v>32</v>
      </c>
      <c r="C51" s="98" t="str">
        <f>IF(NOT(ISBLANK('СПИСОК КЛАССА'!C51)),'СПИСОК КЛАССА'!C51,"")</f>
        <v/>
      </c>
      <c r="D51" s="131" t="str">
        <f>IF(NOT(ISBLANK('СПИСОК КЛАССА'!D51)),IF($A51=1,'СПИСОК КЛАССА'!D51, "УЧЕНИК НЕ ВЫПОЛНЯЛ РАБОТУ"),"")</f>
        <v/>
      </c>
      <c r="E51" s="149" t="str">
        <f>IF($C51&lt;&gt;"",'СПИСОК КЛАССА'!J51,"")</f>
        <v/>
      </c>
      <c r="F51" s="99" t="str">
        <f>IF(AND(OR($C51&lt;&gt;"",$D51&lt;&gt;""),$A51=1,$AA$6="ДА"),(IF(A51=1,IF(OR(AND(E51=1,'ОТВЕТЫ УЧАЩИХСЯ'!E51=1),AND(E51=2,'ОТВЕТЫ УЧАЩИХСЯ'!E51=2),AND(E51=3,'ОТВЕТЫ УЧАЩИХСЯ'!E51=4),AND(E51=4,'ОТВЕТЫ УЧАЩИХСЯ'!E51=2)),1,IF('ОТВЕТЫ УЧАЩИХСЯ'!E51="N",'ОТВЕТЫ УЧАЩИХСЯ'!E51,0)),"")),"")</f>
        <v/>
      </c>
      <c r="G51" s="151" t="str">
        <f>IF(AND(OR($C51&lt;&gt;"",$D51&lt;&gt;""),$A51=1,$AA$6="ДА"),(IF(A51=1,IF(OR(AND(E51=1,'ОТВЕТЫ УЧАЩИХСЯ'!F51=4),AND(E51=2,'ОТВЕТЫ УЧАЩИХСЯ'!F51=1),AND(E51=3,'ОТВЕТЫ УЧАЩИХСЯ'!F51=2),AND(E51=4,'ОТВЕТЫ УЧАЩИХСЯ'!F51=3)),1,IF('ОТВЕТЫ УЧАЩИХСЯ'!F51="N",'ОТВЕТЫ УЧАЩИХСЯ'!F51,0)),"")),"")</f>
        <v/>
      </c>
      <c r="H51" s="151" t="str">
        <f>IF(AND(OR($C51&lt;&gt;"",$D51&lt;&gt;""),$A51=1,$AA$6="ДА"),(IF(A51=1,IF(OR(AND(E51=1,'ОТВЕТЫ УЧАЩИХСЯ'!G51=4),AND(E51=2,'ОТВЕТЫ УЧАЩИХСЯ'!G51=3),AND(E51=3,'ОТВЕТЫ УЧАЩИХСЯ'!G51=4),AND(E51=4,'ОТВЕТЫ УЧАЩИХСЯ'!G51=4)),1,IF('ОТВЕТЫ УЧАЩИХСЯ'!G51="N",'ОТВЕТЫ УЧАЩИХСЯ'!G51,0)),"")),"")</f>
        <v/>
      </c>
      <c r="I51" s="151" t="str">
        <f>IF(AND(OR($C51&lt;&gt;"",$D51&lt;&gt;""),$A51=1,$AA$6="ДА"),(IF(A51=1,IF(OR(AND(E51=1,'ОТВЕТЫ УЧАЩИХСЯ'!H51=2),AND(E51=2,'ОТВЕТЫ УЧАЩИХСЯ'!H51=1),AND(E51=3,'ОТВЕТЫ УЧАЩИХСЯ'!H51=3),AND(E51=4,'ОТВЕТЫ УЧАЩИХСЯ'!H51=4)),1,IF('ОТВЕТЫ УЧАЩИХСЯ'!H51="N",'ОТВЕТЫ УЧАЩИХСЯ'!H51,0)),"")),"")</f>
        <v/>
      </c>
      <c r="J51" s="151" t="str">
        <f>IF(AND(OR($C51&lt;&gt;"",$D51&lt;&gt;""),$A51=1,$AA$6="ДА"),(IF(A51=1,IF(OR(AND(E51=1,'ОТВЕТЫ УЧАЩИХСЯ'!I51=3),AND(E51=2,'ОТВЕТЫ УЧАЩИХСЯ'!I51=4),AND(E51=3,'ОТВЕТЫ УЧАЩИХСЯ'!I51=3),AND(E51=4,'ОТВЕТЫ УЧАЩИХСЯ'!I51=1)),1,IF('ОТВЕТЫ УЧАЩИХСЯ'!I51="N",'ОТВЕТЫ УЧАЩИХСЯ'!I51,0)),"")),"")</f>
        <v/>
      </c>
      <c r="K51" s="151" t="str">
        <f>IF(AND(OR($C51&lt;&gt;"",$D51&lt;&gt;""),$A51=1,$AA$6="ДА"),(IF(A51=1,IF(OR(AND(E51=1,'ОТВЕТЫ УЧАЩИХСЯ'!J51=3),AND(E51=2,'ОТВЕТЫ УЧАЩИХСЯ'!J51=3),AND(E51=3,'ОТВЕТЫ УЧАЩИХСЯ'!J51=2),AND(E51=4,'ОТВЕТЫ УЧАЩИХСЯ'!J51=4)),1,IF('ОТВЕТЫ УЧАЩИХСЯ'!J51="N",'ОТВЕТЫ УЧАЩИХСЯ'!J51,0)),"")),"")</f>
        <v/>
      </c>
      <c r="L51" s="151" t="str">
        <f>IF(AND(OR($C51&lt;&gt;"",$D51&lt;&gt;""),$A51=1,$AA$6="ДА"),(IF(A51=1,IF(OR(AND(E51=1,'ОТВЕТЫ УЧАЩИХСЯ'!K51=2),AND(E51=2,'ОТВЕТЫ УЧАЩИХСЯ'!K51=4),AND(E51=3,'ОТВЕТЫ УЧАЩИХСЯ'!K51=1),AND(E51=4,'ОТВЕТЫ УЧАЩИХСЯ'!K51=3)),2,IF('ОТВЕТЫ УЧАЩИХСЯ'!K51="N",'ОТВЕТЫ УЧАЩИХСЯ'!K51,0)),"")),"")</f>
        <v/>
      </c>
      <c r="M51" s="151" t="str">
        <f>IF(AND(OR($C51&lt;&gt;"",$D51&lt;&gt;""),$A51=1,$AA$6="ДА"),(IF(A51=1,IF(OR(AND(E51=1,'ОТВЕТЫ УЧАЩИХСЯ'!L51=4),AND(E51=2,'ОТВЕТЫ УЧАЩИХСЯ'!L51=1),AND(E51=3,'ОТВЕТЫ УЧАЩИХСЯ'!L51=4),AND(E51=4,'ОТВЕТЫ УЧАЩИХСЯ'!L51=2)),2,IF('ОТВЕТЫ УЧАЩИХСЯ'!L51="N",'ОТВЕТЫ УЧАЩИХСЯ'!L51,0)),"")),"")</f>
        <v/>
      </c>
      <c r="N51" s="151" t="str">
        <f>IF(AND(OR($C51&lt;&gt;"",$D51&lt;&gt;""),$A51=1,$AA$6="ДА"),(IF(A51=1,IF(OR(AND(E51=1,'ОТВЕТЫ УЧАЩИХСЯ'!M51=1),AND(E51=2,'ОТВЕТЫ УЧАЩИХСЯ'!M51=3),AND(E51=3,'ОТВЕТЫ УЧАЩИХСЯ'!M51=3),AND(E51=4,'ОТВЕТЫ УЧАЩИХСЯ'!M51=1)),2,IF('ОТВЕТЫ УЧАЩИХСЯ'!M51="N",'ОТВЕТЫ УЧАЩИХСЯ'!M51,0)),"")),"")</f>
        <v/>
      </c>
      <c r="O51" s="151" t="str">
        <f>IF(AND(OR($C51&lt;&gt;"",$D51&lt;&gt;""),$A51=1,$AA$6="ДА"),(IF(A51=1,IF(OR(AND(E51=1,'ОТВЕТЫ УЧАЩИХСЯ'!N51=2),AND(E51=2,'ОТВЕТЫ УЧАЩИХСЯ'!N51=1),AND(E51=3,'ОТВЕТЫ УЧАЩИХСЯ'!N51=3),AND(E51=4,'ОТВЕТЫ УЧАЩИХСЯ'!N51=3)),1,IF('ОТВЕТЫ УЧАЩИХСЯ'!N51="N",'ОТВЕТЫ УЧАЩИХСЯ'!N51,0)),"")),"")</f>
        <v/>
      </c>
      <c r="P51" s="151" t="str">
        <f>IF(AND(OR($C51&lt;&gt;"",$D51&lt;&gt;""),$A51=1,$AA$6="ДА"),(IF(A51=1,IF(OR(AND(E51=1,'ОТВЕТЫ УЧАЩИХСЯ'!O51=3),AND(E51=2,'ОТВЕТЫ УЧАЩИХСЯ'!O51=4),AND(E51=3,'ОТВЕТЫ УЧАЩИХСЯ'!O51=2),AND(E51=4,'ОТВЕТЫ УЧАЩИХСЯ'!O51=2)),1,IF('ОТВЕТЫ УЧАЩИХСЯ'!O51="N",'ОТВЕТЫ УЧАЩИХСЯ'!O51,0)),"")),"")</f>
        <v/>
      </c>
      <c r="Q51" s="151" t="str">
        <f>IF(AND(OR($C51&lt;&gt;"",$D51&lt;&gt;""),$A51=1,$AA$6="ДА"),(IF(A51=1,IF(OR(AND(E51=1,'ОТВЕТЫ УЧАЩИХСЯ'!P51=4),AND(E51=2,'ОТВЕТЫ УЧАЩИХСЯ'!P51=2),AND(E51=3,'ОТВЕТЫ УЧАЩИХСЯ'!P51=3),AND(E51=4,'ОТВЕТЫ УЧАЩИХСЯ'!P51=2)),2,IF('ОТВЕТЫ УЧАЩИХСЯ'!P51="N",'ОТВЕТЫ УЧАЩИХСЯ'!P51,0)),"")),"")</f>
        <v/>
      </c>
      <c r="R51" s="151" t="str">
        <f>IF(AND(OR($C51&lt;&gt;"",$D51&lt;&gt;""),$A51=1,$AA$6="ДА"),(IF(A51=1,IF(OR(AND(E51=1,'ОТВЕТЫ УЧАЩИХСЯ'!Q51=4),AND(E51=2,'ОТВЕТЫ УЧАЩИХСЯ'!Q51=1),AND(E51=3,'ОТВЕТЫ УЧАЩИХСЯ'!Q51=3),AND(E51=4,'ОТВЕТЫ УЧАЩИХСЯ'!Q51=4)),1,IF('ОТВЕТЫ УЧАЩИХСЯ'!Q51="N",'ОТВЕТЫ УЧАЩИХСЯ'!Q51,0)),"")),"")</f>
        <v/>
      </c>
      <c r="S51" s="151" t="str">
        <f>IF(AND(OR($C51&lt;&gt;"",$D51&lt;&gt;""),$A51=1,$AA$6="ДА"),(IF(A51=1,IF(OR(AND(E51=1,'ОТВЕТЫ УЧАЩИХСЯ'!R51=3),AND(E51=2,'ОТВЕТЫ УЧАЩИХСЯ'!R51=4),AND(E51=3,'ОТВЕТЫ УЧАЩИХСЯ'!R51=2),AND(E51=4,'ОТВЕТЫ УЧАЩИХСЯ'!R51=1)),1,IF('ОТВЕТЫ УЧАЩИХСЯ'!R51="N",'ОТВЕТЫ УЧАЩИХСЯ'!R51,0)),"")),"")</f>
        <v/>
      </c>
      <c r="T51" s="151" t="str">
        <f>IF(AND(OR($C51&lt;&gt;"",$D51&lt;&gt;""),$A51=1,$AA$6="ДА"),(IF(A51=1,IF(OR(AND(E51=1,'ОТВЕТЫ УЧАЩИХСЯ'!S51=1),AND(E51=2,'ОТВЕТЫ УЧАЩИХСЯ'!S51=2),AND(E51=3,'ОТВЕТЫ УЧАЩИХСЯ'!S51=2),AND(E51=4,'ОТВЕТЫ УЧАЩИХСЯ'!S51=3)),1,IF('ОТВЕТЫ УЧАЩИХСЯ'!S51="N",'ОТВЕТЫ УЧАЩИХСЯ'!S51,0)),"")),"")</f>
        <v/>
      </c>
      <c r="U51" s="99" t="str">
        <f t="shared" si="5"/>
        <v/>
      </c>
      <c r="V51" s="99" t="str">
        <f>IF(AND(OR($C51&lt;&gt;"",$D51&lt;&gt;""),$A51=1,$AA$6="ДА"),(IF(A51=1,IF(OR(AND(E51=1,'ОТВЕТЫ УЧАЩИХСЯ'!T51=274),AND(E51=2,'ОТВЕТЫ УЧАЩИХСЯ'!T51=3),AND(E51=3,'ОТВЕТЫ УЧАЩИХСЯ'!T51=778),AND(E51=4,'ОТВЕТЫ УЧАЩИХСЯ'!T51=40)),1,IF('ОТВЕТЫ УЧАЩИХСЯ'!T51="N",'ОТВЕТЫ УЧАЩИХСЯ'!T51,0)),"")),"")</f>
        <v/>
      </c>
      <c r="W51" s="99" t="str">
        <f>IF(AND(OR($C51&lt;&gt;"",$D51&lt;&gt;""),$A51=1,$AA$6="ДА"),(IF(A51=1,IF(OR(AND(E51=1,'ОТВЕТЫ УЧАЩИХСЯ'!U51=49),AND(E51=2,'ОТВЕТЫ УЧАЩИХСЯ'!U51=2),AND(E51=3,'ОТВЕТЫ УЧАЩИХСЯ'!U51="САТУРН,ЮПИТЕР"),AND(E51=4,'ОТВЕТЫ УЧАЩИХСЯ'!U51=8)),1,IF('ОТВЕТЫ УЧАЩИХСЯ'!U51="N",'ОТВЕТЫ УЧАЩИХСЯ'!U51,0)),"")),"")</f>
        <v/>
      </c>
      <c r="X51" s="99" t="str">
        <f>IF(AND(OR($C51&lt;&gt;"",$D51&lt;&gt;""),$A51=1,$AA$6="ДА"),(IF(A51=1,IF(OR(AND(E51=1,'ОТВЕТЫ УЧАЩИХСЯ'!V51=20),AND(E51=2,'ОТВЕТЫ УЧАЩИХСЯ'!V51=20),AND(E51=3,'ОТВЕТЫ УЧАЩИХСЯ'!V51=22),AND(E51=4,'ОТВЕТЫ УЧАЩИХСЯ'!V51=85)),2,IF('ОТВЕТЫ УЧАЩИХСЯ'!V51="N",'ОТВЕТЫ УЧАЩИХСЯ'!V51,0)),"")),"")</f>
        <v/>
      </c>
      <c r="Y51" s="99" t="str">
        <f>IF(AND(OR($C51&lt;&gt;"",$D51&lt;&gt;""),$A51=1,$AA$6="ДА"),IF((ISBLANK($D51)),"",IF($A$20=1,'ОТВЕТЫ УЧАЩИХСЯ'!W51,"")),"")</f>
        <v/>
      </c>
      <c r="Z51" s="332" t="str">
        <f t="shared" si="6"/>
        <v/>
      </c>
      <c r="AA51" s="309" t="str">
        <f t="shared" si="7"/>
        <v/>
      </c>
      <c r="AB51" s="310" t="str">
        <f t="shared" si="8"/>
        <v/>
      </c>
      <c r="AC51" s="311" t="str">
        <f t="shared" si="9"/>
        <v/>
      </c>
      <c r="AD51" s="310" t="str">
        <f t="shared" si="10"/>
        <v/>
      </c>
      <c r="AE51" s="311" t="str">
        <f t="shared" si="11"/>
        <v/>
      </c>
      <c r="AF51" s="312" t="str">
        <f t="shared" si="12"/>
        <v/>
      </c>
      <c r="AG51" s="273">
        <f t="shared" si="13"/>
        <v>15.625</v>
      </c>
      <c r="AH51" s="210">
        <f t="shared" si="14"/>
        <v>0.625</v>
      </c>
      <c r="AI51" s="374">
        <f t="shared" si="15"/>
        <v>15.625</v>
      </c>
      <c r="AJ51" s="375">
        <f t="shared" si="4"/>
        <v>74.621212121212125</v>
      </c>
      <c r="AK51" s="6"/>
      <c r="AL51" s="6"/>
      <c r="AM51" s="6"/>
      <c r="AN51" s="6"/>
      <c r="AO51" s="6"/>
      <c r="AP51" s="6"/>
    </row>
    <row r="52" spans="1:62" ht="12.75" customHeight="1" thickBot="1">
      <c r="A52" s="12">
        <f>IF('СПИСОК КЛАССА'!J52&gt;0,1,0)</f>
        <v>0</v>
      </c>
      <c r="B52" s="97">
        <v>33</v>
      </c>
      <c r="C52" s="98" t="str">
        <f>IF(NOT(ISBLANK('СПИСОК КЛАССА'!C52)),'СПИСОК КЛАССА'!C52,"")</f>
        <v/>
      </c>
      <c r="D52" s="131" t="str">
        <f>IF(NOT(ISBLANK('СПИСОК КЛАССА'!D52)),IF($A52=1,'СПИСОК КЛАССА'!D52, "УЧЕНИК НЕ ВЫПОЛНЯЛ РАБОТУ"),"")</f>
        <v/>
      </c>
      <c r="E52" s="149" t="str">
        <f>IF($C52&lt;&gt;"",'СПИСОК КЛАССА'!J52,"")</f>
        <v/>
      </c>
      <c r="F52" s="99" t="str">
        <f>IF(AND(OR($C52&lt;&gt;"",$D52&lt;&gt;""),$A52=1,$AA$6="ДА"),(IF(A52=1,IF(OR(AND(E52=1,'ОТВЕТЫ УЧАЩИХСЯ'!E52=1),AND(E52=2,'ОТВЕТЫ УЧАЩИХСЯ'!E52=2),AND(E52=3,'ОТВЕТЫ УЧАЩИХСЯ'!E52=4),AND(E52=4,'ОТВЕТЫ УЧАЩИХСЯ'!E52=2)),1,IF('ОТВЕТЫ УЧАЩИХСЯ'!E52="N",'ОТВЕТЫ УЧАЩИХСЯ'!E52,0)),"")),"")</f>
        <v/>
      </c>
      <c r="G52" s="151" t="str">
        <f>IF(AND(OR($C52&lt;&gt;"",$D52&lt;&gt;""),$A52=1,$AA$6="ДА"),(IF(A52=1,IF(OR(AND(E52=1,'ОТВЕТЫ УЧАЩИХСЯ'!F52=4),AND(E52=2,'ОТВЕТЫ УЧАЩИХСЯ'!F52=1),AND(E52=3,'ОТВЕТЫ УЧАЩИХСЯ'!F52=2),AND(E52=4,'ОТВЕТЫ УЧАЩИХСЯ'!F52=3)),1,IF('ОТВЕТЫ УЧАЩИХСЯ'!F52="N",'ОТВЕТЫ УЧАЩИХСЯ'!F52,0)),"")),"")</f>
        <v/>
      </c>
      <c r="H52" s="151" t="str">
        <f>IF(AND(OR($C52&lt;&gt;"",$D52&lt;&gt;""),$A52=1,$AA$6="ДА"),(IF(A52=1,IF(OR(AND(E52=1,'ОТВЕТЫ УЧАЩИХСЯ'!G52=4),AND(E52=2,'ОТВЕТЫ УЧАЩИХСЯ'!G52=3),AND(E52=3,'ОТВЕТЫ УЧАЩИХСЯ'!G52=4),AND(E52=4,'ОТВЕТЫ УЧАЩИХСЯ'!G52=4)),1,IF('ОТВЕТЫ УЧАЩИХСЯ'!G52="N",'ОТВЕТЫ УЧАЩИХСЯ'!G52,0)),"")),"")</f>
        <v/>
      </c>
      <c r="I52" s="151" t="str">
        <f>IF(AND(OR($C52&lt;&gt;"",$D52&lt;&gt;""),$A52=1,$AA$6="ДА"),(IF(A52=1,IF(OR(AND(E52=1,'ОТВЕТЫ УЧАЩИХСЯ'!H52=2),AND(E52=2,'ОТВЕТЫ УЧАЩИХСЯ'!H52=1),AND(E52=3,'ОТВЕТЫ УЧАЩИХСЯ'!H52=3),AND(E52=4,'ОТВЕТЫ УЧАЩИХСЯ'!H52=4)),1,IF('ОТВЕТЫ УЧАЩИХСЯ'!H52="N",'ОТВЕТЫ УЧАЩИХСЯ'!H52,0)),"")),"")</f>
        <v/>
      </c>
      <c r="J52" s="151" t="str">
        <f>IF(AND(OR($C52&lt;&gt;"",$D52&lt;&gt;""),$A52=1,$AA$6="ДА"),(IF(A52=1,IF(OR(AND(E52=1,'ОТВЕТЫ УЧАЩИХСЯ'!I52=3),AND(E52=2,'ОТВЕТЫ УЧАЩИХСЯ'!I52=4),AND(E52=3,'ОТВЕТЫ УЧАЩИХСЯ'!I52=3),AND(E52=4,'ОТВЕТЫ УЧАЩИХСЯ'!I52=1)),1,IF('ОТВЕТЫ УЧАЩИХСЯ'!I52="N",'ОТВЕТЫ УЧАЩИХСЯ'!I52,0)),"")),"")</f>
        <v/>
      </c>
      <c r="K52" s="151" t="str">
        <f>IF(AND(OR($C52&lt;&gt;"",$D52&lt;&gt;""),$A52=1,$AA$6="ДА"),(IF(A52=1,IF(OR(AND(E52=1,'ОТВЕТЫ УЧАЩИХСЯ'!J52=3),AND(E52=2,'ОТВЕТЫ УЧАЩИХСЯ'!J52=3),AND(E52=3,'ОТВЕТЫ УЧАЩИХСЯ'!J52=2),AND(E52=4,'ОТВЕТЫ УЧАЩИХСЯ'!J52=4)),1,IF('ОТВЕТЫ УЧАЩИХСЯ'!J52="N",'ОТВЕТЫ УЧАЩИХСЯ'!J52,0)),"")),"")</f>
        <v/>
      </c>
      <c r="L52" s="151" t="str">
        <f>IF(AND(OR($C52&lt;&gt;"",$D52&lt;&gt;""),$A52=1,$AA$6="ДА"),(IF(A52=1,IF(OR(AND(E52=1,'ОТВЕТЫ УЧАЩИХСЯ'!K52=2),AND(E52=2,'ОТВЕТЫ УЧАЩИХСЯ'!K52=4),AND(E52=3,'ОТВЕТЫ УЧАЩИХСЯ'!K52=1),AND(E52=4,'ОТВЕТЫ УЧАЩИХСЯ'!K52=3)),2,IF('ОТВЕТЫ УЧАЩИХСЯ'!K52="N",'ОТВЕТЫ УЧАЩИХСЯ'!K52,0)),"")),"")</f>
        <v/>
      </c>
      <c r="M52" s="151" t="str">
        <f>IF(AND(OR($C52&lt;&gt;"",$D52&lt;&gt;""),$A52=1,$AA$6="ДА"),(IF(A52=1,IF(OR(AND(E52=1,'ОТВЕТЫ УЧАЩИХСЯ'!L52=4),AND(E52=2,'ОТВЕТЫ УЧАЩИХСЯ'!L52=1),AND(E52=3,'ОТВЕТЫ УЧАЩИХСЯ'!L52=4),AND(E52=4,'ОТВЕТЫ УЧАЩИХСЯ'!L52=2)),2,IF('ОТВЕТЫ УЧАЩИХСЯ'!L52="N",'ОТВЕТЫ УЧАЩИХСЯ'!L52,0)),"")),"")</f>
        <v/>
      </c>
      <c r="N52" s="151" t="str">
        <f>IF(AND(OR($C52&lt;&gt;"",$D52&lt;&gt;""),$A52=1,$AA$6="ДА"),(IF(A52=1,IF(OR(AND(E52=1,'ОТВЕТЫ УЧАЩИХСЯ'!M52=1),AND(E52=2,'ОТВЕТЫ УЧАЩИХСЯ'!M52=3),AND(E52=3,'ОТВЕТЫ УЧАЩИХСЯ'!M52=3),AND(E52=4,'ОТВЕТЫ УЧАЩИХСЯ'!M52=1)),2,IF('ОТВЕТЫ УЧАЩИХСЯ'!M52="N",'ОТВЕТЫ УЧАЩИХСЯ'!M52,0)),"")),"")</f>
        <v/>
      </c>
      <c r="O52" s="151" t="str">
        <f>IF(AND(OR($C52&lt;&gt;"",$D52&lt;&gt;""),$A52=1,$AA$6="ДА"),(IF(A52=1,IF(OR(AND(E52=1,'ОТВЕТЫ УЧАЩИХСЯ'!N52=2),AND(E52=2,'ОТВЕТЫ УЧАЩИХСЯ'!N52=1),AND(E52=3,'ОТВЕТЫ УЧАЩИХСЯ'!N52=3),AND(E52=4,'ОТВЕТЫ УЧАЩИХСЯ'!N52=3)),1,IF('ОТВЕТЫ УЧАЩИХСЯ'!N52="N",'ОТВЕТЫ УЧАЩИХСЯ'!N52,0)),"")),"")</f>
        <v/>
      </c>
      <c r="P52" s="151" t="str">
        <f>IF(AND(OR($C52&lt;&gt;"",$D52&lt;&gt;""),$A52=1,$AA$6="ДА"),(IF(A52=1,IF(OR(AND(E52=1,'ОТВЕТЫ УЧАЩИХСЯ'!O52=3),AND(E52=2,'ОТВЕТЫ УЧАЩИХСЯ'!O52=4),AND(E52=3,'ОТВЕТЫ УЧАЩИХСЯ'!O52=2),AND(E52=4,'ОТВЕТЫ УЧАЩИХСЯ'!O52=2)),1,IF('ОТВЕТЫ УЧАЩИХСЯ'!O52="N",'ОТВЕТЫ УЧАЩИХСЯ'!O52,0)),"")),"")</f>
        <v/>
      </c>
      <c r="Q52" s="151" t="str">
        <f>IF(AND(OR($C52&lt;&gt;"",$D52&lt;&gt;""),$A52=1,$AA$6="ДА"),(IF(A52=1,IF(OR(AND(E52=1,'ОТВЕТЫ УЧАЩИХСЯ'!P52=4),AND(E52=2,'ОТВЕТЫ УЧАЩИХСЯ'!P52=2),AND(E52=3,'ОТВЕТЫ УЧАЩИХСЯ'!P52=3),AND(E52=4,'ОТВЕТЫ УЧАЩИХСЯ'!P52=2)),2,IF('ОТВЕТЫ УЧАЩИХСЯ'!P52="N",'ОТВЕТЫ УЧАЩИХСЯ'!P52,0)),"")),"")</f>
        <v/>
      </c>
      <c r="R52" s="151" t="str">
        <f>IF(AND(OR($C52&lt;&gt;"",$D52&lt;&gt;""),$A52=1,$AA$6="ДА"),(IF(A52=1,IF(OR(AND(E52=1,'ОТВЕТЫ УЧАЩИХСЯ'!Q52=4),AND(E52=2,'ОТВЕТЫ УЧАЩИХСЯ'!Q52=1),AND(E52=3,'ОТВЕТЫ УЧАЩИХСЯ'!Q52=3),AND(E52=4,'ОТВЕТЫ УЧАЩИХСЯ'!Q52=4)),1,IF('ОТВЕТЫ УЧАЩИХСЯ'!Q52="N",'ОТВЕТЫ УЧАЩИХСЯ'!Q52,0)),"")),"")</f>
        <v/>
      </c>
      <c r="S52" s="151" t="str">
        <f>IF(AND(OR($C52&lt;&gt;"",$D52&lt;&gt;""),$A52=1,$AA$6="ДА"),(IF(A52=1,IF(OR(AND(E52=1,'ОТВЕТЫ УЧАЩИХСЯ'!R52=3),AND(E52=2,'ОТВЕТЫ УЧАЩИХСЯ'!R52=4),AND(E52=3,'ОТВЕТЫ УЧАЩИХСЯ'!R52=2),AND(E52=4,'ОТВЕТЫ УЧАЩИХСЯ'!R52=1)),1,IF('ОТВЕТЫ УЧАЩИХСЯ'!R52="N",'ОТВЕТЫ УЧАЩИХСЯ'!R52,0)),"")),"")</f>
        <v/>
      </c>
      <c r="T52" s="151" t="str">
        <f>IF(AND(OR($C52&lt;&gt;"",$D52&lt;&gt;""),$A52=1,$AA$6="ДА"),(IF(A52=1,IF(OR(AND(E52=1,'ОТВЕТЫ УЧАЩИХСЯ'!S52=1),AND(E52=2,'ОТВЕТЫ УЧАЩИХСЯ'!S52=2),AND(E52=3,'ОТВЕТЫ УЧАЩИХСЯ'!S52=2),AND(E52=4,'ОТВЕТЫ УЧАЩИХСЯ'!S52=3)),1,IF('ОТВЕТЫ УЧАЩИХСЯ'!S52="N",'ОТВЕТЫ УЧАЩИХСЯ'!S52,0)),"")),"")</f>
        <v/>
      </c>
      <c r="U52" s="99" t="str">
        <f t="shared" si="5"/>
        <v/>
      </c>
      <c r="V52" s="99" t="str">
        <f>IF(AND(OR($C52&lt;&gt;"",$D52&lt;&gt;""),$A52=1,$AA$6="ДА"),(IF(A52=1,IF(OR(AND(E52=1,'ОТВЕТЫ УЧАЩИХСЯ'!T52=274),AND(E52=2,'ОТВЕТЫ УЧАЩИХСЯ'!T52=3),AND(E52=3,'ОТВЕТЫ УЧАЩИХСЯ'!T52=778),AND(E52=4,'ОТВЕТЫ УЧАЩИХСЯ'!T52=40)),1,IF('ОТВЕТЫ УЧАЩИХСЯ'!T52="N",'ОТВЕТЫ УЧАЩИХСЯ'!T52,0)),"")),"")</f>
        <v/>
      </c>
      <c r="W52" s="99" t="str">
        <f>IF(AND(OR($C52&lt;&gt;"",$D52&lt;&gt;""),$A52=1,$AA$6="ДА"),(IF(A52=1,IF(OR(AND(E52=1,'ОТВЕТЫ УЧАЩИХСЯ'!U52=49),AND(E52=2,'ОТВЕТЫ УЧАЩИХСЯ'!U52=2),AND(E52=3,'ОТВЕТЫ УЧАЩИХСЯ'!U52="САТУРН,ЮПИТЕР"),AND(E52=4,'ОТВЕТЫ УЧАЩИХСЯ'!U52=8)),1,IF('ОТВЕТЫ УЧАЩИХСЯ'!U52="N",'ОТВЕТЫ УЧАЩИХСЯ'!U52,0)),"")),"")</f>
        <v/>
      </c>
      <c r="X52" s="99" t="str">
        <f>IF(AND(OR($C52&lt;&gt;"",$D52&lt;&gt;""),$A52=1,$AA$6="ДА"),(IF(A52=1,IF(OR(AND(E52=1,'ОТВЕТЫ УЧАЩИХСЯ'!V52=20),AND(E52=2,'ОТВЕТЫ УЧАЩИХСЯ'!V52=20),AND(E52=3,'ОТВЕТЫ УЧАЩИХСЯ'!V52=22),AND(E52=4,'ОТВЕТЫ УЧАЩИХСЯ'!V52=85)),2,IF('ОТВЕТЫ УЧАЩИХСЯ'!V52="N",'ОТВЕТЫ УЧАЩИХСЯ'!V52,0)),"")),"")</f>
        <v/>
      </c>
      <c r="Y52" s="99" t="str">
        <f>IF(AND(OR($C52&lt;&gt;"",$D52&lt;&gt;""),$A52=1,$AA$6="ДА"),IF((ISBLANK($D52)),"",IF($A$20=1,'ОТВЕТЫ УЧАЩИХСЯ'!W52,"")),"")</f>
        <v/>
      </c>
      <c r="Z52" s="332" t="str">
        <f t="shared" si="6"/>
        <v/>
      </c>
      <c r="AA52" s="309" t="str">
        <f t="shared" si="7"/>
        <v/>
      </c>
      <c r="AB52" s="310" t="str">
        <f t="shared" si="8"/>
        <v/>
      </c>
      <c r="AC52" s="311" t="str">
        <f t="shared" si="9"/>
        <v/>
      </c>
      <c r="AD52" s="310" t="str">
        <f t="shared" si="10"/>
        <v/>
      </c>
      <c r="AE52" s="311" t="str">
        <f t="shared" si="11"/>
        <v/>
      </c>
      <c r="AF52" s="312" t="str">
        <f t="shared" si="12"/>
        <v/>
      </c>
      <c r="AG52" s="273">
        <f t="shared" si="13"/>
        <v>15.625</v>
      </c>
      <c r="AH52" s="210">
        <f t="shared" si="14"/>
        <v>0.625</v>
      </c>
      <c r="AI52" s="374">
        <f t="shared" si="15"/>
        <v>15.625</v>
      </c>
      <c r="AJ52" s="375">
        <f t="shared" si="4"/>
        <v>74.621212121212125</v>
      </c>
      <c r="AK52" s="6"/>
      <c r="AL52" s="6"/>
      <c r="AM52" s="6"/>
      <c r="AN52" s="6"/>
      <c r="AO52" s="6"/>
      <c r="AP52" s="6"/>
    </row>
    <row r="53" spans="1:62" ht="12.75" customHeight="1" thickBot="1">
      <c r="A53" s="12">
        <f>IF('СПИСОК КЛАССА'!J53&gt;0,1,0)</f>
        <v>0</v>
      </c>
      <c r="B53" s="97">
        <v>34</v>
      </c>
      <c r="C53" s="98" t="str">
        <f>IF(NOT(ISBLANK('СПИСОК КЛАССА'!C53)),'СПИСОК КЛАССА'!C53,"")</f>
        <v/>
      </c>
      <c r="D53" s="131" t="str">
        <f>IF(NOT(ISBLANK('СПИСОК КЛАССА'!D53)),IF($A53=1,'СПИСОК КЛАССА'!D53, "УЧЕНИК НЕ ВЫПОЛНЯЛ РАБОТУ"),"")</f>
        <v/>
      </c>
      <c r="E53" s="149" t="str">
        <f>IF($C53&lt;&gt;"",'СПИСОК КЛАССА'!J53,"")</f>
        <v/>
      </c>
      <c r="F53" s="99" t="str">
        <f>IF(AND(OR($C53&lt;&gt;"",$D53&lt;&gt;""),$A53=1,$AA$6="ДА"),(IF(A53=1,IF(OR(AND(E53=1,'ОТВЕТЫ УЧАЩИХСЯ'!E53=1),AND(E53=2,'ОТВЕТЫ УЧАЩИХСЯ'!E53=2),AND(E53=3,'ОТВЕТЫ УЧАЩИХСЯ'!E53=4),AND(E53=4,'ОТВЕТЫ УЧАЩИХСЯ'!E53=2)),1,IF('ОТВЕТЫ УЧАЩИХСЯ'!E53="N",'ОТВЕТЫ УЧАЩИХСЯ'!E53,0)),"")),"")</f>
        <v/>
      </c>
      <c r="G53" s="151" t="str">
        <f>IF(AND(OR($C53&lt;&gt;"",$D53&lt;&gt;""),$A53=1,$AA$6="ДА"),(IF(A53=1,IF(OR(AND(E53=1,'ОТВЕТЫ УЧАЩИХСЯ'!F53=4),AND(E53=2,'ОТВЕТЫ УЧАЩИХСЯ'!F53=1),AND(E53=3,'ОТВЕТЫ УЧАЩИХСЯ'!F53=2),AND(E53=4,'ОТВЕТЫ УЧАЩИХСЯ'!F53=3)),1,IF('ОТВЕТЫ УЧАЩИХСЯ'!F53="N",'ОТВЕТЫ УЧАЩИХСЯ'!F53,0)),"")),"")</f>
        <v/>
      </c>
      <c r="H53" s="151" t="str">
        <f>IF(AND(OR($C53&lt;&gt;"",$D53&lt;&gt;""),$A53=1,$AA$6="ДА"),(IF(A53=1,IF(OR(AND(E53=1,'ОТВЕТЫ УЧАЩИХСЯ'!G53=4),AND(E53=2,'ОТВЕТЫ УЧАЩИХСЯ'!G53=3),AND(E53=3,'ОТВЕТЫ УЧАЩИХСЯ'!G53=4),AND(E53=4,'ОТВЕТЫ УЧАЩИХСЯ'!G53=4)),1,IF('ОТВЕТЫ УЧАЩИХСЯ'!G53="N",'ОТВЕТЫ УЧАЩИХСЯ'!G53,0)),"")),"")</f>
        <v/>
      </c>
      <c r="I53" s="151" t="str">
        <f>IF(AND(OR($C53&lt;&gt;"",$D53&lt;&gt;""),$A53=1,$AA$6="ДА"),(IF(A53=1,IF(OR(AND(E53=1,'ОТВЕТЫ УЧАЩИХСЯ'!H53=2),AND(E53=2,'ОТВЕТЫ УЧАЩИХСЯ'!H53=1),AND(E53=3,'ОТВЕТЫ УЧАЩИХСЯ'!H53=3),AND(E53=4,'ОТВЕТЫ УЧАЩИХСЯ'!H53=4)),1,IF('ОТВЕТЫ УЧАЩИХСЯ'!H53="N",'ОТВЕТЫ УЧАЩИХСЯ'!H53,0)),"")),"")</f>
        <v/>
      </c>
      <c r="J53" s="151" t="str">
        <f>IF(AND(OR($C53&lt;&gt;"",$D53&lt;&gt;""),$A53=1,$AA$6="ДА"),(IF(A53=1,IF(OR(AND(E53=1,'ОТВЕТЫ УЧАЩИХСЯ'!I53=3),AND(E53=2,'ОТВЕТЫ УЧАЩИХСЯ'!I53=4),AND(E53=3,'ОТВЕТЫ УЧАЩИХСЯ'!I53=3),AND(E53=4,'ОТВЕТЫ УЧАЩИХСЯ'!I53=1)),1,IF('ОТВЕТЫ УЧАЩИХСЯ'!I53="N",'ОТВЕТЫ УЧАЩИХСЯ'!I53,0)),"")),"")</f>
        <v/>
      </c>
      <c r="K53" s="151" t="str">
        <f>IF(AND(OR($C53&lt;&gt;"",$D53&lt;&gt;""),$A53=1,$AA$6="ДА"),(IF(A53=1,IF(OR(AND(E53=1,'ОТВЕТЫ УЧАЩИХСЯ'!J53=3),AND(E53=2,'ОТВЕТЫ УЧАЩИХСЯ'!J53=3),AND(E53=3,'ОТВЕТЫ УЧАЩИХСЯ'!J53=2),AND(E53=4,'ОТВЕТЫ УЧАЩИХСЯ'!J53=4)),1,IF('ОТВЕТЫ УЧАЩИХСЯ'!J53="N",'ОТВЕТЫ УЧАЩИХСЯ'!J53,0)),"")),"")</f>
        <v/>
      </c>
      <c r="L53" s="151" t="str">
        <f>IF(AND(OR($C53&lt;&gt;"",$D53&lt;&gt;""),$A53=1,$AA$6="ДА"),(IF(A53=1,IF(OR(AND(E53=1,'ОТВЕТЫ УЧАЩИХСЯ'!K53=2),AND(E53=2,'ОТВЕТЫ УЧАЩИХСЯ'!K53=4),AND(E53=3,'ОТВЕТЫ УЧАЩИХСЯ'!K53=1),AND(E53=4,'ОТВЕТЫ УЧАЩИХСЯ'!K53=3)),2,IF('ОТВЕТЫ УЧАЩИХСЯ'!K53="N",'ОТВЕТЫ УЧАЩИХСЯ'!K53,0)),"")),"")</f>
        <v/>
      </c>
      <c r="M53" s="151" t="str">
        <f>IF(AND(OR($C53&lt;&gt;"",$D53&lt;&gt;""),$A53=1,$AA$6="ДА"),(IF(A53=1,IF(OR(AND(E53=1,'ОТВЕТЫ УЧАЩИХСЯ'!L53=4),AND(E53=2,'ОТВЕТЫ УЧАЩИХСЯ'!L53=1),AND(E53=3,'ОТВЕТЫ УЧАЩИХСЯ'!L53=4),AND(E53=4,'ОТВЕТЫ УЧАЩИХСЯ'!L53=2)),2,IF('ОТВЕТЫ УЧАЩИХСЯ'!L53="N",'ОТВЕТЫ УЧАЩИХСЯ'!L53,0)),"")),"")</f>
        <v/>
      </c>
      <c r="N53" s="151" t="str">
        <f>IF(AND(OR($C53&lt;&gt;"",$D53&lt;&gt;""),$A53=1,$AA$6="ДА"),(IF(A53=1,IF(OR(AND(E53=1,'ОТВЕТЫ УЧАЩИХСЯ'!M53=1),AND(E53=2,'ОТВЕТЫ УЧАЩИХСЯ'!M53=3),AND(E53=3,'ОТВЕТЫ УЧАЩИХСЯ'!M53=3),AND(E53=4,'ОТВЕТЫ УЧАЩИХСЯ'!M53=1)),2,IF('ОТВЕТЫ УЧАЩИХСЯ'!M53="N",'ОТВЕТЫ УЧАЩИХСЯ'!M53,0)),"")),"")</f>
        <v/>
      </c>
      <c r="O53" s="151" t="str">
        <f>IF(AND(OR($C53&lt;&gt;"",$D53&lt;&gt;""),$A53=1,$AA$6="ДА"),(IF(A53=1,IF(OR(AND(E53=1,'ОТВЕТЫ УЧАЩИХСЯ'!N53=2),AND(E53=2,'ОТВЕТЫ УЧАЩИХСЯ'!N53=1),AND(E53=3,'ОТВЕТЫ УЧАЩИХСЯ'!N53=3),AND(E53=4,'ОТВЕТЫ УЧАЩИХСЯ'!N53=3)),1,IF('ОТВЕТЫ УЧАЩИХСЯ'!N53="N",'ОТВЕТЫ УЧАЩИХСЯ'!N53,0)),"")),"")</f>
        <v/>
      </c>
      <c r="P53" s="151" t="str">
        <f>IF(AND(OR($C53&lt;&gt;"",$D53&lt;&gt;""),$A53=1,$AA$6="ДА"),(IF(A53=1,IF(OR(AND(E53=1,'ОТВЕТЫ УЧАЩИХСЯ'!O53=3),AND(E53=2,'ОТВЕТЫ УЧАЩИХСЯ'!O53=4),AND(E53=3,'ОТВЕТЫ УЧАЩИХСЯ'!O53=2),AND(E53=4,'ОТВЕТЫ УЧАЩИХСЯ'!O53=2)),1,IF('ОТВЕТЫ УЧАЩИХСЯ'!O53="N",'ОТВЕТЫ УЧАЩИХСЯ'!O53,0)),"")),"")</f>
        <v/>
      </c>
      <c r="Q53" s="151" t="str">
        <f>IF(AND(OR($C53&lt;&gt;"",$D53&lt;&gt;""),$A53=1,$AA$6="ДА"),(IF(A53=1,IF(OR(AND(E53=1,'ОТВЕТЫ УЧАЩИХСЯ'!P53=4),AND(E53=2,'ОТВЕТЫ УЧАЩИХСЯ'!P53=2),AND(E53=3,'ОТВЕТЫ УЧАЩИХСЯ'!P53=3),AND(E53=4,'ОТВЕТЫ УЧАЩИХСЯ'!P53=2)),2,IF('ОТВЕТЫ УЧАЩИХСЯ'!P53="N",'ОТВЕТЫ УЧАЩИХСЯ'!P53,0)),"")),"")</f>
        <v/>
      </c>
      <c r="R53" s="151" t="str">
        <f>IF(AND(OR($C53&lt;&gt;"",$D53&lt;&gt;""),$A53=1,$AA$6="ДА"),(IF(A53=1,IF(OR(AND(E53=1,'ОТВЕТЫ УЧАЩИХСЯ'!Q53=4),AND(E53=2,'ОТВЕТЫ УЧАЩИХСЯ'!Q53=1),AND(E53=3,'ОТВЕТЫ УЧАЩИХСЯ'!Q53=3),AND(E53=4,'ОТВЕТЫ УЧАЩИХСЯ'!Q53=4)),1,IF('ОТВЕТЫ УЧАЩИХСЯ'!Q53="N",'ОТВЕТЫ УЧАЩИХСЯ'!Q53,0)),"")),"")</f>
        <v/>
      </c>
      <c r="S53" s="151" t="str">
        <f>IF(AND(OR($C53&lt;&gt;"",$D53&lt;&gt;""),$A53=1,$AA$6="ДА"),(IF(A53=1,IF(OR(AND(E53=1,'ОТВЕТЫ УЧАЩИХСЯ'!R53=3),AND(E53=2,'ОТВЕТЫ УЧАЩИХСЯ'!R53=4),AND(E53=3,'ОТВЕТЫ УЧАЩИХСЯ'!R53=2),AND(E53=4,'ОТВЕТЫ УЧАЩИХСЯ'!R53=1)),1,IF('ОТВЕТЫ УЧАЩИХСЯ'!R53="N",'ОТВЕТЫ УЧАЩИХСЯ'!R53,0)),"")),"")</f>
        <v/>
      </c>
      <c r="T53" s="151" t="str">
        <f>IF(AND(OR($C53&lt;&gt;"",$D53&lt;&gt;""),$A53=1,$AA$6="ДА"),(IF(A53=1,IF(OR(AND(E53=1,'ОТВЕТЫ УЧАЩИХСЯ'!S53=1),AND(E53=2,'ОТВЕТЫ УЧАЩИХСЯ'!S53=2),AND(E53=3,'ОТВЕТЫ УЧАЩИХСЯ'!S53=2),AND(E53=4,'ОТВЕТЫ УЧАЩИХСЯ'!S53=3)),1,IF('ОТВЕТЫ УЧАЩИХСЯ'!S53="N",'ОТВЕТЫ УЧАЩИХСЯ'!S53,0)),"")),"")</f>
        <v/>
      </c>
      <c r="U53" s="99" t="str">
        <f t="shared" si="5"/>
        <v/>
      </c>
      <c r="V53" s="99" t="str">
        <f>IF(AND(OR($C53&lt;&gt;"",$D53&lt;&gt;""),$A53=1,$AA$6="ДА"),(IF(A53=1,IF(OR(AND(E53=1,'ОТВЕТЫ УЧАЩИХСЯ'!T53=274),AND(E53=2,'ОТВЕТЫ УЧАЩИХСЯ'!T53=3),AND(E53=3,'ОТВЕТЫ УЧАЩИХСЯ'!T53=778),AND(E53=4,'ОТВЕТЫ УЧАЩИХСЯ'!T53=40)),1,IF('ОТВЕТЫ УЧАЩИХСЯ'!T53="N",'ОТВЕТЫ УЧАЩИХСЯ'!T53,0)),"")),"")</f>
        <v/>
      </c>
      <c r="W53" s="99" t="str">
        <f>IF(AND(OR($C53&lt;&gt;"",$D53&lt;&gt;""),$A53=1,$AA$6="ДА"),(IF(A53=1,IF(OR(AND(E53=1,'ОТВЕТЫ УЧАЩИХСЯ'!U53=49),AND(E53=2,'ОТВЕТЫ УЧАЩИХСЯ'!U53=2),AND(E53=3,'ОТВЕТЫ УЧАЩИХСЯ'!U53="САТУРН,ЮПИТЕР"),AND(E53=4,'ОТВЕТЫ УЧАЩИХСЯ'!U53=8)),1,IF('ОТВЕТЫ УЧАЩИХСЯ'!U53="N",'ОТВЕТЫ УЧАЩИХСЯ'!U53,0)),"")),"")</f>
        <v/>
      </c>
      <c r="X53" s="99" t="str">
        <f>IF(AND(OR($C53&lt;&gt;"",$D53&lt;&gt;""),$A53=1,$AA$6="ДА"),(IF(A53=1,IF(OR(AND(E53=1,'ОТВЕТЫ УЧАЩИХСЯ'!V53=20),AND(E53=2,'ОТВЕТЫ УЧАЩИХСЯ'!V53=20),AND(E53=3,'ОТВЕТЫ УЧАЩИХСЯ'!V53=22),AND(E53=4,'ОТВЕТЫ УЧАЩИХСЯ'!V53=85)),2,IF('ОТВЕТЫ УЧАЩИХСЯ'!V53="N",'ОТВЕТЫ УЧАЩИХСЯ'!V53,0)),"")),"")</f>
        <v/>
      </c>
      <c r="Y53" s="99" t="str">
        <f>IF(AND(OR($C53&lt;&gt;"",$D53&lt;&gt;""),$A53=1,$AA$6="ДА"),IF((ISBLANK($D53)),"",IF($A$20=1,'ОТВЕТЫ УЧАЩИХСЯ'!W53,"")),"")</f>
        <v/>
      </c>
      <c r="Z53" s="332" t="str">
        <f t="shared" si="6"/>
        <v/>
      </c>
      <c r="AA53" s="309" t="str">
        <f t="shared" si="7"/>
        <v/>
      </c>
      <c r="AB53" s="310" t="str">
        <f t="shared" si="8"/>
        <v/>
      </c>
      <c r="AC53" s="311" t="str">
        <f t="shared" si="9"/>
        <v/>
      </c>
      <c r="AD53" s="310" t="str">
        <f t="shared" si="10"/>
        <v/>
      </c>
      <c r="AE53" s="311" t="str">
        <f t="shared" si="11"/>
        <v/>
      </c>
      <c r="AF53" s="312" t="str">
        <f t="shared" si="12"/>
        <v/>
      </c>
      <c r="AG53" s="273">
        <f t="shared" si="13"/>
        <v>15.625</v>
      </c>
      <c r="AH53" s="210">
        <f t="shared" si="14"/>
        <v>0.625</v>
      </c>
      <c r="AI53" s="374">
        <f t="shared" si="15"/>
        <v>15.625</v>
      </c>
      <c r="AJ53" s="375">
        <f t="shared" si="4"/>
        <v>74.621212121212125</v>
      </c>
      <c r="AK53" s="6"/>
      <c r="AL53" s="6"/>
      <c r="AM53" s="6"/>
      <c r="AN53" s="6"/>
      <c r="AO53" s="6"/>
      <c r="AP53" s="6"/>
    </row>
    <row r="54" spans="1:62" ht="12.75" customHeight="1" thickBot="1">
      <c r="A54" s="12">
        <f>IF('СПИСОК КЛАССА'!J54&gt;0,1,0)</f>
        <v>0</v>
      </c>
      <c r="B54" s="97">
        <v>35</v>
      </c>
      <c r="C54" s="98" t="str">
        <f>IF(NOT(ISBLANK('СПИСОК КЛАССА'!C54)),'СПИСОК КЛАССА'!C54,"")</f>
        <v/>
      </c>
      <c r="D54" s="131" t="str">
        <f>IF(NOT(ISBLANK('СПИСОК КЛАССА'!D54)),IF($A54=1,'СПИСОК КЛАССА'!D54, "УЧЕНИК НЕ ВЫПОЛНЯЛ РАБОТУ"),"")</f>
        <v/>
      </c>
      <c r="E54" s="149" t="str">
        <f>IF($C54&lt;&gt;"",'СПИСОК КЛАССА'!J54,"")</f>
        <v/>
      </c>
      <c r="F54" s="99" t="str">
        <f>IF(AND(OR($C54&lt;&gt;"",$D54&lt;&gt;""),$A54=1,$AA$6="ДА"),(IF(A54=1,IF(OR(AND(E54=1,'ОТВЕТЫ УЧАЩИХСЯ'!E54=1),AND(E54=2,'ОТВЕТЫ УЧАЩИХСЯ'!E54=2),AND(E54=3,'ОТВЕТЫ УЧАЩИХСЯ'!E54=4),AND(E54=4,'ОТВЕТЫ УЧАЩИХСЯ'!E54=2)),1,IF('ОТВЕТЫ УЧАЩИХСЯ'!E54="N",'ОТВЕТЫ УЧАЩИХСЯ'!E54,0)),"")),"")</f>
        <v/>
      </c>
      <c r="G54" s="151" t="str">
        <f>IF(AND(OR($C54&lt;&gt;"",$D54&lt;&gt;""),$A54=1,$AA$6="ДА"),(IF(A54=1,IF(OR(AND(E54=1,'ОТВЕТЫ УЧАЩИХСЯ'!F54=4),AND(E54=2,'ОТВЕТЫ УЧАЩИХСЯ'!F54=1),AND(E54=3,'ОТВЕТЫ УЧАЩИХСЯ'!F54=2),AND(E54=4,'ОТВЕТЫ УЧАЩИХСЯ'!F54=3)),1,IF('ОТВЕТЫ УЧАЩИХСЯ'!F54="N",'ОТВЕТЫ УЧАЩИХСЯ'!F54,0)),"")),"")</f>
        <v/>
      </c>
      <c r="H54" s="151" t="str">
        <f>IF(AND(OR($C54&lt;&gt;"",$D54&lt;&gt;""),$A54=1,$AA$6="ДА"),(IF(A54=1,IF(OR(AND(E54=1,'ОТВЕТЫ УЧАЩИХСЯ'!G54=4),AND(E54=2,'ОТВЕТЫ УЧАЩИХСЯ'!G54=3),AND(E54=3,'ОТВЕТЫ УЧАЩИХСЯ'!G54=4),AND(E54=4,'ОТВЕТЫ УЧАЩИХСЯ'!G54=4)),1,IF('ОТВЕТЫ УЧАЩИХСЯ'!G54="N",'ОТВЕТЫ УЧАЩИХСЯ'!G54,0)),"")),"")</f>
        <v/>
      </c>
      <c r="I54" s="151" t="str">
        <f>IF(AND(OR($C54&lt;&gt;"",$D54&lt;&gt;""),$A54=1,$AA$6="ДА"),(IF(A54=1,IF(OR(AND(E54=1,'ОТВЕТЫ УЧАЩИХСЯ'!H54=2),AND(E54=2,'ОТВЕТЫ УЧАЩИХСЯ'!H54=1),AND(E54=3,'ОТВЕТЫ УЧАЩИХСЯ'!H54=3),AND(E54=4,'ОТВЕТЫ УЧАЩИХСЯ'!H54=4)),1,IF('ОТВЕТЫ УЧАЩИХСЯ'!H54="N",'ОТВЕТЫ УЧАЩИХСЯ'!H54,0)),"")),"")</f>
        <v/>
      </c>
      <c r="J54" s="151" t="str">
        <f>IF(AND(OR($C54&lt;&gt;"",$D54&lt;&gt;""),$A54=1,$AA$6="ДА"),(IF(A54=1,IF(OR(AND(E54=1,'ОТВЕТЫ УЧАЩИХСЯ'!I54=3),AND(E54=2,'ОТВЕТЫ УЧАЩИХСЯ'!I54=4),AND(E54=3,'ОТВЕТЫ УЧАЩИХСЯ'!I54=3),AND(E54=4,'ОТВЕТЫ УЧАЩИХСЯ'!I54=1)),1,IF('ОТВЕТЫ УЧАЩИХСЯ'!I54="N",'ОТВЕТЫ УЧАЩИХСЯ'!I54,0)),"")),"")</f>
        <v/>
      </c>
      <c r="K54" s="151" t="str">
        <f>IF(AND(OR($C54&lt;&gt;"",$D54&lt;&gt;""),$A54=1,$AA$6="ДА"),(IF(A54=1,IF(OR(AND(E54=1,'ОТВЕТЫ УЧАЩИХСЯ'!J54=3),AND(E54=2,'ОТВЕТЫ УЧАЩИХСЯ'!J54=3),AND(E54=3,'ОТВЕТЫ УЧАЩИХСЯ'!J54=2),AND(E54=4,'ОТВЕТЫ УЧАЩИХСЯ'!J54=4)),1,IF('ОТВЕТЫ УЧАЩИХСЯ'!J54="N",'ОТВЕТЫ УЧАЩИХСЯ'!J54,0)),"")),"")</f>
        <v/>
      </c>
      <c r="L54" s="151" t="str">
        <f>IF(AND(OR($C54&lt;&gt;"",$D54&lt;&gt;""),$A54=1,$AA$6="ДА"),(IF(A54=1,IF(OR(AND(E54=1,'ОТВЕТЫ УЧАЩИХСЯ'!K54=2),AND(E54=2,'ОТВЕТЫ УЧАЩИХСЯ'!K54=4),AND(E54=3,'ОТВЕТЫ УЧАЩИХСЯ'!K54=1),AND(E54=4,'ОТВЕТЫ УЧАЩИХСЯ'!K54=3)),2,IF('ОТВЕТЫ УЧАЩИХСЯ'!K54="N",'ОТВЕТЫ УЧАЩИХСЯ'!K54,0)),"")),"")</f>
        <v/>
      </c>
      <c r="M54" s="151" t="str">
        <f>IF(AND(OR($C54&lt;&gt;"",$D54&lt;&gt;""),$A54=1,$AA$6="ДА"),(IF(A54=1,IF(OR(AND(E54=1,'ОТВЕТЫ УЧАЩИХСЯ'!L54=4),AND(E54=2,'ОТВЕТЫ УЧАЩИХСЯ'!L54=1),AND(E54=3,'ОТВЕТЫ УЧАЩИХСЯ'!L54=4),AND(E54=4,'ОТВЕТЫ УЧАЩИХСЯ'!L54=2)),2,IF('ОТВЕТЫ УЧАЩИХСЯ'!L54="N",'ОТВЕТЫ УЧАЩИХСЯ'!L54,0)),"")),"")</f>
        <v/>
      </c>
      <c r="N54" s="151" t="str">
        <f>IF(AND(OR($C54&lt;&gt;"",$D54&lt;&gt;""),$A54=1,$AA$6="ДА"),(IF(A54=1,IF(OR(AND(E54=1,'ОТВЕТЫ УЧАЩИХСЯ'!M54=1),AND(E54=2,'ОТВЕТЫ УЧАЩИХСЯ'!M54=3),AND(E54=3,'ОТВЕТЫ УЧАЩИХСЯ'!M54=3),AND(E54=4,'ОТВЕТЫ УЧАЩИХСЯ'!M54=1)),2,IF('ОТВЕТЫ УЧАЩИХСЯ'!M54="N",'ОТВЕТЫ УЧАЩИХСЯ'!M54,0)),"")),"")</f>
        <v/>
      </c>
      <c r="O54" s="151" t="str">
        <f>IF(AND(OR($C54&lt;&gt;"",$D54&lt;&gt;""),$A54=1,$AA$6="ДА"),(IF(A54=1,IF(OR(AND(E54=1,'ОТВЕТЫ УЧАЩИХСЯ'!N54=2),AND(E54=2,'ОТВЕТЫ УЧАЩИХСЯ'!N54=1),AND(E54=3,'ОТВЕТЫ УЧАЩИХСЯ'!N54=3),AND(E54=4,'ОТВЕТЫ УЧАЩИХСЯ'!N54=3)),1,IF('ОТВЕТЫ УЧАЩИХСЯ'!N54="N",'ОТВЕТЫ УЧАЩИХСЯ'!N54,0)),"")),"")</f>
        <v/>
      </c>
      <c r="P54" s="151" t="str">
        <f>IF(AND(OR($C54&lt;&gt;"",$D54&lt;&gt;""),$A54=1,$AA$6="ДА"),(IF(A54=1,IF(OR(AND(E54=1,'ОТВЕТЫ УЧАЩИХСЯ'!O54=3),AND(E54=2,'ОТВЕТЫ УЧАЩИХСЯ'!O54=4),AND(E54=3,'ОТВЕТЫ УЧАЩИХСЯ'!O54=2),AND(E54=4,'ОТВЕТЫ УЧАЩИХСЯ'!O54=2)),1,IF('ОТВЕТЫ УЧАЩИХСЯ'!O54="N",'ОТВЕТЫ УЧАЩИХСЯ'!O54,0)),"")),"")</f>
        <v/>
      </c>
      <c r="Q54" s="151" t="str">
        <f>IF(AND(OR($C54&lt;&gt;"",$D54&lt;&gt;""),$A54=1,$AA$6="ДА"),(IF(A54=1,IF(OR(AND(E54=1,'ОТВЕТЫ УЧАЩИХСЯ'!P54=4),AND(E54=2,'ОТВЕТЫ УЧАЩИХСЯ'!P54=2),AND(E54=3,'ОТВЕТЫ УЧАЩИХСЯ'!P54=3),AND(E54=4,'ОТВЕТЫ УЧАЩИХСЯ'!P54=2)),2,IF('ОТВЕТЫ УЧАЩИХСЯ'!P54="N",'ОТВЕТЫ УЧАЩИХСЯ'!P54,0)),"")),"")</f>
        <v/>
      </c>
      <c r="R54" s="151" t="str">
        <f>IF(AND(OR($C54&lt;&gt;"",$D54&lt;&gt;""),$A54=1,$AA$6="ДА"),(IF(A54=1,IF(OR(AND(E54=1,'ОТВЕТЫ УЧАЩИХСЯ'!Q54=4),AND(E54=2,'ОТВЕТЫ УЧАЩИХСЯ'!Q54=1),AND(E54=3,'ОТВЕТЫ УЧАЩИХСЯ'!Q54=3),AND(E54=4,'ОТВЕТЫ УЧАЩИХСЯ'!Q54=4)),1,IF('ОТВЕТЫ УЧАЩИХСЯ'!Q54="N",'ОТВЕТЫ УЧАЩИХСЯ'!Q54,0)),"")),"")</f>
        <v/>
      </c>
      <c r="S54" s="151" t="str">
        <f>IF(AND(OR($C54&lt;&gt;"",$D54&lt;&gt;""),$A54=1,$AA$6="ДА"),(IF(A54=1,IF(OR(AND(E54=1,'ОТВЕТЫ УЧАЩИХСЯ'!R54=3),AND(E54=2,'ОТВЕТЫ УЧАЩИХСЯ'!R54=4),AND(E54=3,'ОТВЕТЫ УЧАЩИХСЯ'!R54=2),AND(E54=4,'ОТВЕТЫ УЧАЩИХСЯ'!R54=1)),1,IF('ОТВЕТЫ УЧАЩИХСЯ'!R54="N",'ОТВЕТЫ УЧАЩИХСЯ'!R54,0)),"")),"")</f>
        <v/>
      </c>
      <c r="T54" s="151" t="str">
        <f>IF(AND(OR($C54&lt;&gt;"",$D54&lt;&gt;""),$A54=1,$AA$6="ДА"),(IF(A54=1,IF(OR(AND(E54=1,'ОТВЕТЫ УЧАЩИХСЯ'!S54=1),AND(E54=2,'ОТВЕТЫ УЧАЩИХСЯ'!S54=2),AND(E54=3,'ОТВЕТЫ УЧАЩИХСЯ'!S54=2),AND(E54=4,'ОТВЕТЫ УЧАЩИХСЯ'!S54=3)),1,IF('ОТВЕТЫ УЧАЩИХСЯ'!S54="N",'ОТВЕТЫ УЧАЩИХСЯ'!S54,0)),"")),"")</f>
        <v/>
      </c>
      <c r="U54" s="99" t="str">
        <f t="shared" si="5"/>
        <v/>
      </c>
      <c r="V54" s="99" t="str">
        <f>IF(AND(OR($C54&lt;&gt;"",$D54&lt;&gt;""),$A54=1,$AA$6="ДА"),(IF(A54=1,IF(OR(AND(E54=1,'ОТВЕТЫ УЧАЩИХСЯ'!T54=274),AND(E54=2,'ОТВЕТЫ УЧАЩИХСЯ'!T54=3),AND(E54=3,'ОТВЕТЫ УЧАЩИХСЯ'!T54=778),AND(E54=4,'ОТВЕТЫ УЧАЩИХСЯ'!T54=40)),1,IF('ОТВЕТЫ УЧАЩИХСЯ'!T54="N",'ОТВЕТЫ УЧАЩИХСЯ'!T54,0)),"")),"")</f>
        <v/>
      </c>
      <c r="W54" s="99" t="str">
        <f>IF(AND(OR($C54&lt;&gt;"",$D54&lt;&gt;""),$A54=1,$AA$6="ДА"),(IF(A54=1,IF(OR(AND(E54=1,'ОТВЕТЫ УЧАЩИХСЯ'!U54=49),AND(E54=2,'ОТВЕТЫ УЧАЩИХСЯ'!U54=2),AND(E54=3,'ОТВЕТЫ УЧАЩИХСЯ'!U54="САТУРН,ЮПИТЕР"),AND(E54=4,'ОТВЕТЫ УЧАЩИХСЯ'!U54=8)),1,IF('ОТВЕТЫ УЧАЩИХСЯ'!U54="N",'ОТВЕТЫ УЧАЩИХСЯ'!U54,0)),"")),"")</f>
        <v/>
      </c>
      <c r="X54" s="99" t="str">
        <f>IF(AND(OR($C54&lt;&gt;"",$D54&lt;&gt;""),$A54=1,$AA$6="ДА"),(IF(A54=1,IF(OR(AND(E54=1,'ОТВЕТЫ УЧАЩИХСЯ'!V54=20),AND(E54=2,'ОТВЕТЫ УЧАЩИХСЯ'!V54=20),AND(E54=3,'ОТВЕТЫ УЧАЩИХСЯ'!V54=22),AND(E54=4,'ОТВЕТЫ УЧАЩИХСЯ'!V54=85)),2,IF('ОТВЕТЫ УЧАЩИХСЯ'!V54="N",'ОТВЕТЫ УЧАЩИХСЯ'!V54,0)),"")),"")</f>
        <v/>
      </c>
      <c r="Y54" s="99" t="str">
        <f>IF(AND(OR($C54&lt;&gt;"",$D54&lt;&gt;""),$A54=1,$AA$6="ДА"),IF((ISBLANK($D54)),"",IF($A$20=1,'ОТВЕТЫ УЧАЩИХСЯ'!W54,"")),"")</f>
        <v/>
      </c>
      <c r="Z54" s="332" t="str">
        <f t="shared" si="6"/>
        <v/>
      </c>
      <c r="AA54" s="309" t="str">
        <f t="shared" si="7"/>
        <v/>
      </c>
      <c r="AB54" s="310" t="str">
        <f t="shared" si="8"/>
        <v/>
      </c>
      <c r="AC54" s="311" t="str">
        <f t="shared" si="9"/>
        <v/>
      </c>
      <c r="AD54" s="310" t="str">
        <f t="shared" si="10"/>
        <v/>
      </c>
      <c r="AE54" s="311" t="str">
        <f t="shared" si="11"/>
        <v/>
      </c>
      <c r="AF54" s="312" t="str">
        <f t="shared" si="12"/>
        <v/>
      </c>
      <c r="AG54" s="273">
        <f t="shared" si="13"/>
        <v>15.625</v>
      </c>
      <c r="AH54" s="210">
        <f t="shared" si="14"/>
        <v>0.625</v>
      </c>
      <c r="AI54" s="374">
        <f t="shared" si="15"/>
        <v>15.625</v>
      </c>
      <c r="AJ54" s="375">
        <f t="shared" si="4"/>
        <v>74.621212121212125</v>
      </c>
      <c r="AK54" s="6"/>
      <c r="AL54" s="6"/>
      <c r="AM54" s="6"/>
      <c r="AN54" s="6"/>
      <c r="AO54" s="6"/>
      <c r="AP54" s="6"/>
    </row>
    <row r="55" spans="1:62" ht="12.75" customHeight="1" thickBot="1">
      <c r="A55" s="12">
        <f>IF('СПИСОК КЛАССА'!J55&gt;0,1,0)</f>
        <v>0</v>
      </c>
      <c r="B55" s="97">
        <v>36</v>
      </c>
      <c r="C55" s="98" t="str">
        <f>IF(NOT(ISBLANK('СПИСОК КЛАССА'!C55)),'СПИСОК КЛАССА'!C55,"")</f>
        <v/>
      </c>
      <c r="D55" s="131" t="str">
        <f>IF(NOT(ISBLANK('СПИСОК КЛАССА'!D55)),IF($A55=1,'СПИСОК КЛАССА'!D55, "УЧЕНИК НЕ ВЫПОЛНЯЛ РАБОТУ"),"")</f>
        <v/>
      </c>
      <c r="E55" s="149" t="str">
        <f>IF($C55&lt;&gt;"",'СПИСОК КЛАССА'!J55,"")</f>
        <v/>
      </c>
      <c r="F55" s="99" t="str">
        <f>IF(AND(OR($C55&lt;&gt;"",$D55&lt;&gt;""),$A55=1,$AA$6="ДА"),(IF(A55=1,IF(OR(AND(E55=1,'ОТВЕТЫ УЧАЩИХСЯ'!E55=1),AND(E55=2,'ОТВЕТЫ УЧАЩИХСЯ'!E55=2),AND(E55=3,'ОТВЕТЫ УЧАЩИХСЯ'!E55=4),AND(E55=4,'ОТВЕТЫ УЧАЩИХСЯ'!E55=2)),1,IF('ОТВЕТЫ УЧАЩИХСЯ'!E55="N",'ОТВЕТЫ УЧАЩИХСЯ'!E55,0)),"")),"")</f>
        <v/>
      </c>
      <c r="G55" s="151" t="str">
        <f>IF(AND(OR($C55&lt;&gt;"",$D55&lt;&gt;""),$A55=1,$AA$6="ДА"),(IF(A55=1,IF(OR(AND(E55=1,'ОТВЕТЫ УЧАЩИХСЯ'!F55=4),AND(E55=2,'ОТВЕТЫ УЧАЩИХСЯ'!F55=1),AND(E55=3,'ОТВЕТЫ УЧАЩИХСЯ'!F55=2),AND(E55=4,'ОТВЕТЫ УЧАЩИХСЯ'!F55=3)),1,IF('ОТВЕТЫ УЧАЩИХСЯ'!F55="N",'ОТВЕТЫ УЧАЩИХСЯ'!F55,0)),"")),"")</f>
        <v/>
      </c>
      <c r="H55" s="151" t="str">
        <f>IF(AND(OR($C55&lt;&gt;"",$D55&lt;&gt;""),$A55=1,$AA$6="ДА"),(IF(A55=1,IF(OR(AND(E55=1,'ОТВЕТЫ УЧАЩИХСЯ'!G55=4),AND(E55=2,'ОТВЕТЫ УЧАЩИХСЯ'!G55=3),AND(E55=3,'ОТВЕТЫ УЧАЩИХСЯ'!G55=4),AND(E55=4,'ОТВЕТЫ УЧАЩИХСЯ'!G55=4)),1,IF('ОТВЕТЫ УЧАЩИХСЯ'!G55="N",'ОТВЕТЫ УЧАЩИХСЯ'!G55,0)),"")),"")</f>
        <v/>
      </c>
      <c r="I55" s="151" t="str">
        <f>IF(AND(OR($C55&lt;&gt;"",$D55&lt;&gt;""),$A55=1,$AA$6="ДА"),(IF(A55=1,IF(OR(AND(E55=1,'ОТВЕТЫ УЧАЩИХСЯ'!H55=2),AND(E55=2,'ОТВЕТЫ УЧАЩИХСЯ'!H55=1),AND(E55=3,'ОТВЕТЫ УЧАЩИХСЯ'!H55=3),AND(E55=4,'ОТВЕТЫ УЧАЩИХСЯ'!H55=4)),1,IF('ОТВЕТЫ УЧАЩИХСЯ'!H55="N",'ОТВЕТЫ УЧАЩИХСЯ'!H55,0)),"")),"")</f>
        <v/>
      </c>
      <c r="J55" s="151" t="str">
        <f>IF(AND(OR($C55&lt;&gt;"",$D55&lt;&gt;""),$A55=1,$AA$6="ДА"),(IF(A55=1,IF(OR(AND(E55=1,'ОТВЕТЫ УЧАЩИХСЯ'!I55=3),AND(E55=2,'ОТВЕТЫ УЧАЩИХСЯ'!I55=4),AND(E55=3,'ОТВЕТЫ УЧАЩИХСЯ'!I55=3),AND(E55=4,'ОТВЕТЫ УЧАЩИХСЯ'!I55=1)),1,IF('ОТВЕТЫ УЧАЩИХСЯ'!I55="N",'ОТВЕТЫ УЧАЩИХСЯ'!I55,0)),"")),"")</f>
        <v/>
      </c>
      <c r="K55" s="151" t="str">
        <f>IF(AND(OR($C55&lt;&gt;"",$D55&lt;&gt;""),$A55=1,$AA$6="ДА"),(IF(A55=1,IF(OR(AND(E55=1,'ОТВЕТЫ УЧАЩИХСЯ'!J55=3),AND(E55=2,'ОТВЕТЫ УЧАЩИХСЯ'!J55=3),AND(E55=3,'ОТВЕТЫ УЧАЩИХСЯ'!J55=2),AND(E55=4,'ОТВЕТЫ УЧАЩИХСЯ'!J55=4)),1,IF('ОТВЕТЫ УЧАЩИХСЯ'!J55="N",'ОТВЕТЫ УЧАЩИХСЯ'!J55,0)),"")),"")</f>
        <v/>
      </c>
      <c r="L55" s="151" t="str">
        <f>IF(AND(OR($C55&lt;&gt;"",$D55&lt;&gt;""),$A55=1,$AA$6="ДА"),(IF(A55=1,IF(OR(AND(E55=1,'ОТВЕТЫ УЧАЩИХСЯ'!K55=2),AND(E55=2,'ОТВЕТЫ УЧАЩИХСЯ'!K55=4),AND(E55=3,'ОТВЕТЫ УЧАЩИХСЯ'!K55=1),AND(E55=4,'ОТВЕТЫ УЧАЩИХСЯ'!K55=3)),2,IF('ОТВЕТЫ УЧАЩИХСЯ'!K55="N",'ОТВЕТЫ УЧАЩИХСЯ'!K55,0)),"")),"")</f>
        <v/>
      </c>
      <c r="M55" s="151" t="str">
        <f>IF(AND(OR($C55&lt;&gt;"",$D55&lt;&gt;""),$A55=1,$AA$6="ДА"),(IF(A55=1,IF(OR(AND(E55=1,'ОТВЕТЫ УЧАЩИХСЯ'!L55=4),AND(E55=2,'ОТВЕТЫ УЧАЩИХСЯ'!L55=1),AND(E55=3,'ОТВЕТЫ УЧАЩИХСЯ'!L55=4),AND(E55=4,'ОТВЕТЫ УЧАЩИХСЯ'!L55=2)),2,IF('ОТВЕТЫ УЧАЩИХСЯ'!L55="N",'ОТВЕТЫ УЧАЩИХСЯ'!L55,0)),"")),"")</f>
        <v/>
      </c>
      <c r="N55" s="151" t="str">
        <f>IF(AND(OR($C55&lt;&gt;"",$D55&lt;&gt;""),$A55=1,$AA$6="ДА"),(IF(A55=1,IF(OR(AND(E55=1,'ОТВЕТЫ УЧАЩИХСЯ'!M55=1),AND(E55=2,'ОТВЕТЫ УЧАЩИХСЯ'!M55=3),AND(E55=3,'ОТВЕТЫ УЧАЩИХСЯ'!M55=3),AND(E55=4,'ОТВЕТЫ УЧАЩИХСЯ'!M55=1)),2,IF('ОТВЕТЫ УЧАЩИХСЯ'!M55="N",'ОТВЕТЫ УЧАЩИХСЯ'!M55,0)),"")),"")</f>
        <v/>
      </c>
      <c r="O55" s="151" t="str">
        <f>IF(AND(OR($C55&lt;&gt;"",$D55&lt;&gt;""),$A55=1,$AA$6="ДА"),(IF(A55=1,IF(OR(AND(E55=1,'ОТВЕТЫ УЧАЩИХСЯ'!N55=2),AND(E55=2,'ОТВЕТЫ УЧАЩИХСЯ'!N55=1),AND(E55=3,'ОТВЕТЫ УЧАЩИХСЯ'!N55=3),AND(E55=4,'ОТВЕТЫ УЧАЩИХСЯ'!N55=3)),1,IF('ОТВЕТЫ УЧАЩИХСЯ'!N55="N",'ОТВЕТЫ УЧАЩИХСЯ'!N55,0)),"")),"")</f>
        <v/>
      </c>
      <c r="P55" s="151" t="str">
        <f>IF(AND(OR($C55&lt;&gt;"",$D55&lt;&gt;""),$A55=1,$AA$6="ДА"),(IF(A55=1,IF(OR(AND(E55=1,'ОТВЕТЫ УЧАЩИХСЯ'!O55=3),AND(E55=2,'ОТВЕТЫ УЧАЩИХСЯ'!O55=4),AND(E55=3,'ОТВЕТЫ УЧАЩИХСЯ'!O55=2),AND(E55=4,'ОТВЕТЫ УЧАЩИХСЯ'!O55=2)),1,IF('ОТВЕТЫ УЧАЩИХСЯ'!O55="N",'ОТВЕТЫ УЧАЩИХСЯ'!O55,0)),"")),"")</f>
        <v/>
      </c>
      <c r="Q55" s="151" t="str">
        <f>IF(AND(OR($C55&lt;&gt;"",$D55&lt;&gt;""),$A55=1,$AA$6="ДА"),(IF(A55=1,IF(OR(AND(E55=1,'ОТВЕТЫ УЧАЩИХСЯ'!P55=4),AND(E55=2,'ОТВЕТЫ УЧАЩИХСЯ'!P55=2),AND(E55=3,'ОТВЕТЫ УЧАЩИХСЯ'!P55=3),AND(E55=4,'ОТВЕТЫ УЧАЩИХСЯ'!P55=2)),2,IF('ОТВЕТЫ УЧАЩИХСЯ'!P55="N",'ОТВЕТЫ УЧАЩИХСЯ'!P55,0)),"")),"")</f>
        <v/>
      </c>
      <c r="R55" s="151" t="str">
        <f>IF(AND(OR($C55&lt;&gt;"",$D55&lt;&gt;""),$A55=1,$AA$6="ДА"),(IF(A55=1,IF(OR(AND(E55=1,'ОТВЕТЫ УЧАЩИХСЯ'!Q55=4),AND(E55=2,'ОТВЕТЫ УЧАЩИХСЯ'!Q55=1),AND(E55=3,'ОТВЕТЫ УЧАЩИХСЯ'!Q55=3),AND(E55=4,'ОТВЕТЫ УЧАЩИХСЯ'!Q55=4)),1,IF('ОТВЕТЫ УЧАЩИХСЯ'!Q55="N",'ОТВЕТЫ УЧАЩИХСЯ'!Q55,0)),"")),"")</f>
        <v/>
      </c>
      <c r="S55" s="151" t="str">
        <f>IF(AND(OR($C55&lt;&gt;"",$D55&lt;&gt;""),$A55=1,$AA$6="ДА"),(IF(A55=1,IF(OR(AND(E55=1,'ОТВЕТЫ УЧАЩИХСЯ'!R55=3),AND(E55=2,'ОТВЕТЫ УЧАЩИХСЯ'!R55=4),AND(E55=3,'ОТВЕТЫ УЧАЩИХСЯ'!R55=2),AND(E55=4,'ОТВЕТЫ УЧАЩИХСЯ'!R55=1)),1,IF('ОТВЕТЫ УЧАЩИХСЯ'!R55="N",'ОТВЕТЫ УЧАЩИХСЯ'!R55,0)),"")),"")</f>
        <v/>
      </c>
      <c r="T55" s="151" t="str">
        <f>IF(AND(OR($C55&lt;&gt;"",$D55&lt;&gt;""),$A55=1,$AA$6="ДА"),(IF(A55=1,IF(OR(AND(E55=1,'ОТВЕТЫ УЧАЩИХСЯ'!S55=1),AND(E55=2,'ОТВЕТЫ УЧАЩИХСЯ'!S55=2),AND(E55=3,'ОТВЕТЫ УЧАЩИХСЯ'!S55=2),AND(E55=4,'ОТВЕТЫ УЧАЩИХСЯ'!S55=3)),1,IF('ОТВЕТЫ УЧАЩИХСЯ'!S55="N",'ОТВЕТЫ УЧАЩИХСЯ'!S55,0)),"")),"")</f>
        <v/>
      </c>
      <c r="U55" s="99" t="str">
        <f t="shared" si="5"/>
        <v/>
      </c>
      <c r="V55" s="99" t="str">
        <f>IF(AND(OR($C55&lt;&gt;"",$D55&lt;&gt;""),$A55=1,$AA$6="ДА"),(IF(A55=1,IF(OR(AND(E55=1,'ОТВЕТЫ УЧАЩИХСЯ'!T55=274),AND(E55=2,'ОТВЕТЫ УЧАЩИХСЯ'!T55=3),AND(E55=3,'ОТВЕТЫ УЧАЩИХСЯ'!T55=778),AND(E55=4,'ОТВЕТЫ УЧАЩИХСЯ'!T55=40)),1,IF('ОТВЕТЫ УЧАЩИХСЯ'!T55="N",'ОТВЕТЫ УЧАЩИХСЯ'!T55,0)),"")),"")</f>
        <v/>
      </c>
      <c r="W55" s="99" t="str">
        <f>IF(AND(OR($C55&lt;&gt;"",$D55&lt;&gt;""),$A55=1,$AA$6="ДА"),(IF(A55=1,IF(OR(AND(E55=1,'ОТВЕТЫ УЧАЩИХСЯ'!U55=49),AND(E55=2,'ОТВЕТЫ УЧАЩИХСЯ'!U55=2),AND(E55=3,'ОТВЕТЫ УЧАЩИХСЯ'!U55="САТУРН,ЮПИТЕР"),AND(E55=4,'ОТВЕТЫ УЧАЩИХСЯ'!U55=8)),1,IF('ОТВЕТЫ УЧАЩИХСЯ'!U55="N",'ОТВЕТЫ УЧАЩИХСЯ'!U55,0)),"")),"")</f>
        <v/>
      </c>
      <c r="X55" s="99" t="str">
        <f>IF(AND(OR($C55&lt;&gt;"",$D55&lt;&gt;""),$A55=1,$AA$6="ДА"),(IF(A55=1,IF(OR(AND(E55=1,'ОТВЕТЫ УЧАЩИХСЯ'!V55=20),AND(E55=2,'ОТВЕТЫ УЧАЩИХСЯ'!V55=20),AND(E55=3,'ОТВЕТЫ УЧАЩИХСЯ'!V55=22),AND(E55=4,'ОТВЕТЫ УЧАЩИХСЯ'!V55=85)),2,IF('ОТВЕТЫ УЧАЩИХСЯ'!V55="N",'ОТВЕТЫ УЧАЩИХСЯ'!V55,0)),"")),"")</f>
        <v/>
      </c>
      <c r="Y55" s="99" t="str">
        <f>IF(AND(OR($C55&lt;&gt;"",$D55&lt;&gt;""),$A55=1,$AA$6="ДА"),IF((ISBLANK($D55)),"",IF($A$20=1,'ОТВЕТЫ УЧАЩИХСЯ'!W55,"")),"")</f>
        <v/>
      </c>
      <c r="Z55" s="332" t="str">
        <f t="shared" si="6"/>
        <v/>
      </c>
      <c r="AA55" s="309" t="str">
        <f t="shared" si="7"/>
        <v/>
      </c>
      <c r="AB55" s="310" t="str">
        <f t="shared" si="8"/>
        <v/>
      </c>
      <c r="AC55" s="311" t="str">
        <f t="shared" si="9"/>
        <v/>
      </c>
      <c r="AD55" s="310" t="str">
        <f t="shared" si="10"/>
        <v/>
      </c>
      <c r="AE55" s="311" t="str">
        <f t="shared" si="11"/>
        <v/>
      </c>
      <c r="AF55" s="312" t="str">
        <f t="shared" si="12"/>
        <v/>
      </c>
      <c r="AG55" s="273">
        <f t="shared" si="13"/>
        <v>15.625</v>
      </c>
      <c r="AH55" s="210">
        <f t="shared" si="14"/>
        <v>0.625</v>
      </c>
      <c r="AI55" s="374">
        <f t="shared" si="15"/>
        <v>15.625</v>
      </c>
      <c r="AJ55" s="375">
        <f t="shared" si="4"/>
        <v>74.621212121212125</v>
      </c>
      <c r="AK55" s="6"/>
      <c r="AL55" s="6"/>
      <c r="AM55" s="6"/>
      <c r="AN55" s="6"/>
      <c r="AO55" s="6"/>
      <c r="AP55" s="6"/>
    </row>
    <row r="56" spans="1:62" ht="12.75" customHeight="1" thickBot="1">
      <c r="A56" s="12">
        <f>IF('СПИСОК КЛАССА'!J56&gt;0,1,0)</f>
        <v>0</v>
      </c>
      <c r="B56" s="97">
        <v>37</v>
      </c>
      <c r="C56" s="98" t="str">
        <f>IF(NOT(ISBLANK('СПИСОК КЛАССА'!C56)),'СПИСОК КЛАССА'!C56,"")</f>
        <v/>
      </c>
      <c r="D56" s="131" t="str">
        <f>IF(NOT(ISBLANK('СПИСОК КЛАССА'!D56)),IF($A56=1,'СПИСОК КЛАССА'!D56, "УЧЕНИК НЕ ВЫПОЛНЯЛ РАБОТУ"),"")</f>
        <v/>
      </c>
      <c r="E56" s="149" t="str">
        <f>IF($C56&lt;&gt;"",'СПИСОК КЛАССА'!J56,"")</f>
        <v/>
      </c>
      <c r="F56" s="99" t="str">
        <f>IF(AND(OR($C56&lt;&gt;"",$D56&lt;&gt;""),$A56=1,$AA$6="ДА"),(IF(A56=1,IF(OR(AND(E56=1,'ОТВЕТЫ УЧАЩИХСЯ'!E56=1),AND(E56=2,'ОТВЕТЫ УЧАЩИХСЯ'!E56=2),AND(E56=3,'ОТВЕТЫ УЧАЩИХСЯ'!E56=4),AND(E56=4,'ОТВЕТЫ УЧАЩИХСЯ'!E56=2)),1,IF('ОТВЕТЫ УЧАЩИХСЯ'!E56="N",'ОТВЕТЫ УЧАЩИХСЯ'!E56,0)),"")),"")</f>
        <v/>
      </c>
      <c r="G56" s="151" t="str">
        <f>IF(AND(OR($C56&lt;&gt;"",$D56&lt;&gt;""),$A56=1,$AA$6="ДА"),(IF(A56=1,IF(OR(AND(E56=1,'ОТВЕТЫ УЧАЩИХСЯ'!F56=4),AND(E56=2,'ОТВЕТЫ УЧАЩИХСЯ'!F56=1),AND(E56=3,'ОТВЕТЫ УЧАЩИХСЯ'!F56=2),AND(E56=4,'ОТВЕТЫ УЧАЩИХСЯ'!F56=3)),1,IF('ОТВЕТЫ УЧАЩИХСЯ'!F56="N",'ОТВЕТЫ УЧАЩИХСЯ'!F56,0)),"")),"")</f>
        <v/>
      </c>
      <c r="H56" s="151" t="str">
        <f>IF(AND(OR($C56&lt;&gt;"",$D56&lt;&gt;""),$A56=1,$AA$6="ДА"),(IF(A56=1,IF(OR(AND(E56=1,'ОТВЕТЫ УЧАЩИХСЯ'!G56=4),AND(E56=2,'ОТВЕТЫ УЧАЩИХСЯ'!G56=3),AND(E56=3,'ОТВЕТЫ УЧАЩИХСЯ'!G56=4),AND(E56=4,'ОТВЕТЫ УЧАЩИХСЯ'!G56=4)),1,IF('ОТВЕТЫ УЧАЩИХСЯ'!G56="N",'ОТВЕТЫ УЧАЩИХСЯ'!G56,0)),"")),"")</f>
        <v/>
      </c>
      <c r="I56" s="151" t="str">
        <f>IF(AND(OR($C56&lt;&gt;"",$D56&lt;&gt;""),$A56=1,$AA$6="ДА"),(IF(A56=1,IF(OR(AND(E56=1,'ОТВЕТЫ УЧАЩИХСЯ'!H56=2),AND(E56=2,'ОТВЕТЫ УЧАЩИХСЯ'!H56=1),AND(E56=3,'ОТВЕТЫ УЧАЩИХСЯ'!H56=3),AND(E56=4,'ОТВЕТЫ УЧАЩИХСЯ'!H56=4)),1,IF('ОТВЕТЫ УЧАЩИХСЯ'!H56="N",'ОТВЕТЫ УЧАЩИХСЯ'!H56,0)),"")),"")</f>
        <v/>
      </c>
      <c r="J56" s="151" t="str">
        <f>IF(AND(OR($C56&lt;&gt;"",$D56&lt;&gt;""),$A56=1,$AA$6="ДА"),(IF(A56=1,IF(OR(AND(E56=1,'ОТВЕТЫ УЧАЩИХСЯ'!I56=3),AND(E56=2,'ОТВЕТЫ УЧАЩИХСЯ'!I56=4),AND(E56=3,'ОТВЕТЫ УЧАЩИХСЯ'!I56=3),AND(E56=4,'ОТВЕТЫ УЧАЩИХСЯ'!I56=1)),1,IF('ОТВЕТЫ УЧАЩИХСЯ'!I56="N",'ОТВЕТЫ УЧАЩИХСЯ'!I56,0)),"")),"")</f>
        <v/>
      </c>
      <c r="K56" s="151" t="str">
        <f>IF(AND(OR($C56&lt;&gt;"",$D56&lt;&gt;""),$A56=1,$AA$6="ДА"),(IF(A56=1,IF(OR(AND(E56=1,'ОТВЕТЫ УЧАЩИХСЯ'!J56=3),AND(E56=2,'ОТВЕТЫ УЧАЩИХСЯ'!J56=3),AND(E56=3,'ОТВЕТЫ УЧАЩИХСЯ'!J56=2),AND(E56=4,'ОТВЕТЫ УЧАЩИХСЯ'!J56=4)),1,IF('ОТВЕТЫ УЧАЩИХСЯ'!J56="N",'ОТВЕТЫ УЧАЩИХСЯ'!J56,0)),"")),"")</f>
        <v/>
      </c>
      <c r="L56" s="151" t="str">
        <f>IF(AND(OR($C56&lt;&gt;"",$D56&lt;&gt;""),$A56=1,$AA$6="ДА"),(IF(A56=1,IF(OR(AND(E56=1,'ОТВЕТЫ УЧАЩИХСЯ'!K56=2),AND(E56=2,'ОТВЕТЫ УЧАЩИХСЯ'!K56=4),AND(E56=3,'ОТВЕТЫ УЧАЩИХСЯ'!K56=1),AND(E56=4,'ОТВЕТЫ УЧАЩИХСЯ'!K56=3)),2,IF('ОТВЕТЫ УЧАЩИХСЯ'!K56="N",'ОТВЕТЫ УЧАЩИХСЯ'!K56,0)),"")),"")</f>
        <v/>
      </c>
      <c r="M56" s="151" t="str">
        <f>IF(AND(OR($C56&lt;&gt;"",$D56&lt;&gt;""),$A56=1,$AA$6="ДА"),(IF(A56=1,IF(OR(AND(E56=1,'ОТВЕТЫ УЧАЩИХСЯ'!L56=4),AND(E56=2,'ОТВЕТЫ УЧАЩИХСЯ'!L56=1),AND(E56=3,'ОТВЕТЫ УЧАЩИХСЯ'!L56=4),AND(E56=4,'ОТВЕТЫ УЧАЩИХСЯ'!L56=2)),2,IF('ОТВЕТЫ УЧАЩИХСЯ'!L56="N",'ОТВЕТЫ УЧАЩИХСЯ'!L56,0)),"")),"")</f>
        <v/>
      </c>
      <c r="N56" s="151" t="str">
        <f>IF(AND(OR($C56&lt;&gt;"",$D56&lt;&gt;""),$A56=1,$AA$6="ДА"),(IF(A56=1,IF(OR(AND(E56=1,'ОТВЕТЫ УЧАЩИХСЯ'!M56=1),AND(E56=2,'ОТВЕТЫ УЧАЩИХСЯ'!M56=3),AND(E56=3,'ОТВЕТЫ УЧАЩИХСЯ'!M56=3),AND(E56=4,'ОТВЕТЫ УЧАЩИХСЯ'!M56=1)),2,IF('ОТВЕТЫ УЧАЩИХСЯ'!M56="N",'ОТВЕТЫ УЧАЩИХСЯ'!M56,0)),"")),"")</f>
        <v/>
      </c>
      <c r="O56" s="151" t="str">
        <f>IF(AND(OR($C56&lt;&gt;"",$D56&lt;&gt;""),$A56=1,$AA$6="ДА"),(IF(A56=1,IF(OR(AND(E56=1,'ОТВЕТЫ УЧАЩИХСЯ'!N56=2),AND(E56=2,'ОТВЕТЫ УЧАЩИХСЯ'!N56=1),AND(E56=3,'ОТВЕТЫ УЧАЩИХСЯ'!N56=3),AND(E56=4,'ОТВЕТЫ УЧАЩИХСЯ'!N56=3)),1,IF('ОТВЕТЫ УЧАЩИХСЯ'!N56="N",'ОТВЕТЫ УЧАЩИХСЯ'!N56,0)),"")),"")</f>
        <v/>
      </c>
      <c r="P56" s="151" t="str">
        <f>IF(AND(OR($C56&lt;&gt;"",$D56&lt;&gt;""),$A56=1,$AA$6="ДА"),(IF(A56=1,IF(OR(AND(E56=1,'ОТВЕТЫ УЧАЩИХСЯ'!O56=3),AND(E56=2,'ОТВЕТЫ УЧАЩИХСЯ'!O56=4),AND(E56=3,'ОТВЕТЫ УЧАЩИХСЯ'!O56=2),AND(E56=4,'ОТВЕТЫ УЧАЩИХСЯ'!O56=2)),1,IF('ОТВЕТЫ УЧАЩИХСЯ'!O56="N",'ОТВЕТЫ УЧАЩИХСЯ'!O56,0)),"")),"")</f>
        <v/>
      </c>
      <c r="Q56" s="151" t="str">
        <f>IF(AND(OR($C56&lt;&gt;"",$D56&lt;&gt;""),$A56=1,$AA$6="ДА"),(IF(A56=1,IF(OR(AND(E56=1,'ОТВЕТЫ УЧАЩИХСЯ'!P56=4),AND(E56=2,'ОТВЕТЫ УЧАЩИХСЯ'!P56=2),AND(E56=3,'ОТВЕТЫ УЧАЩИХСЯ'!P56=3),AND(E56=4,'ОТВЕТЫ УЧАЩИХСЯ'!P56=2)),2,IF('ОТВЕТЫ УЧАЩИХСЯ'!P56="N",'ОТВЕТЫ УЧАЩИХСЯ'!P56,0)),"")),"")</f>
        <v/>
      </c>
      <c r="R56" s="151" t="str">
        <f>IF(AND(OR($C56&lt;&gt;"",$D56&lt;&gt;""),$A56=1,$AA$6="ДА"),(IF(A56=1,IF(OR(AND(E56=1,'ОТВЕТЫ УЧАЩИХСЯ'!Q56=4),AND(E56=2,'ОТВЕТЫ УЧАЩИХСЯ'!Q56=1),AND(E56=3,'ОТВЕТЫ УЧАЩИХСЯ'!Q56=3),AND(E56=4,'ОТВЕТЫ УЧАЩИХСЯ'!Q56=4)),1,IF('ОТВЕТЫ УЧАЩИХСЯ'!Q56="N",'ОТВЕТЫ УЧАЩИХСЯ'!Q56,0)),"")),"")</f>
        <v/>
      </c>
      <c r="S56" s="151" t="str">
        <f>IF(AND(OR($C56&lt;&gt;"",$D56&lt;&gt;""),$A56=1,$AA$6="ДА"),(IF(A56=1,IF(OR(AND(E56=1,'ОТВЕТЫ УЧАЩИХСЯ'!R56=3),AND(E56=2,'ОТВЕТЫ УЧАЩИХСЯ'!R56=4),AND(E56=3,'ОТВЕТЫ УЧАЩИХСЯ'!R56=2),AND(E56=4,'ОТВЕТЫ УЧАЩИХСЯ'!R56=1)),1,IF('ОТВЕТЫ УЧАЩИХСЯ'!R56="N",'ОТВЕТЫ УЧАЩИХСЯ'!R56,0)),"")),"")</f>
        <v/>
      </c>
      <c r="T56" s="151" t="str">
        <f>IF(AND(OR($C56&lt;&gt;"",$D56&lt;&gt;""),$A56=1,$AA$6="ДА"),(IF(A56=1,IF(OR(AND(E56=1,'ОТВЕТЫ УЧАЩИХСЯ'!S56=1),AND(E56=2,'ОТВЕТЫ УЧАЩИХСЯ'!S56=2),AND(E56=3,'ОТВЕТЫ УЧАЩИХСЯ'!S56=2),AND(E56=4,'ОТВЕТЫ УЧАЩИХСЯ'!S56=3)),1,IF('ОТВЕТЫ УЧАЩИХСЯ'!S56="N",'ОТВЕТЫ УЧАЩИХСЯ'!S56,0)),"")),"")</f>
        <v/>
      </c>
      <c r="U56" s="99" t="str">
        <f t="shared" si="5"/>
        <v/>
      </c>
      <c r="V56" s="99" t="str">
        <f>IF(AND(OR($C56&lt;&gt;"",$D56&lt;&gt;""),$A56=1,$AA$6="ДА"),(IF(A56=1,IF(OR(AND(E56=1,'ОТВЕТЫ УЧАЩИХСЯ'!T56=274),AND(E56=2,'ОТВЕТЫ УЧАЩИХСЯ'!T56=3),AND(E56=3,'ОТВЕТЫ УЧАЩИХСЯ'!T56=778),AND(E56=4,'ОТВЕТЫ УЧАЩИХСЯ'!T56=40)),1,IF('ОТВЕТЫ УЧАЩИХСЯ'!T56="N",'ОТВЕТЫ УЧАЩИХСЯ'!T56,0)),"")),"")</f>
        <v/>
      </c>
      <c r="W56" s="99" t="str">
        <f>IF(AND(OR($C56&lt;&gt;"",$D56&lt;&gt;""),$A56=1,$AA$6="ДА"),(IF(A56=1,IF(OR(AND(E56=1,'ОТВЕТЫ УЧАЩИХСЯ'!U56=49),AND(E56=2,'ОТВЕТЫ УЧАЩИХСЯ'!U56=2),AND(E56=3,'ОТВЕТЫ УЧАЩИХСЯ'!U56="САТУРН,ЮПИТЕР"),AND(E56=4,'ОТВЕТЫ УЧАЩИХСЯ'!U56=8)),1,IF('ОТВЕТЫ УЧАЩИХСЯ'!U56="N",'ОТВЕТЫ УЧАЩИХСЯ'!U56,0)),"")),"")</f>
        <v/>
      </c>
      <c r="X56" s="99" t="str">
        <f>IF(AND(OR($C56&lt;&gt;"",$D56&lt;&gt;""),$A56=1,$AA$6="ДА"),(IF(A56=1,IF(OR(AND(E56=1,'ОТВЕТЫ УЧАЩИХСЯ'!V56=20),AND(E56=2,'ОТВЕТЫ УЧАЩИХСЯ'!V56=20),AND(E56=3,'ОТВЕТЫ УЧАЩИХСЯ'!V56=22),AND(E56=4,'ОТВЕТЫ УЧАЩИХСЯ'!V56=85)),2,IF('ОТВЕТЫ УЧАЩИХСЯ'!V56="N",'ОТВЕТЫ УЧАЩИХСЯ'!V56,0)),"")),"")</f>
        <v/>
      </c>
      <c r="Y56" s="99" t="str">
        <f>IF(AND(OR($C56&lt;&gt;"",$D56&lt;&gt;""),$A56=1,$AA$6="ДА"),IF((ISBLANK($D56)),"",IF($A$20=1,'ОТВЕТЫ УЧАЩИХСЯ'!W56,"")),"")</f>
        <v/>
      </c>
      <c r="Z56" s="332" t="str">
        <f t="shared" si="6"/>
        <v/>
      </c>
      <c r="AA56" s="309" t="str">
        <f t="shared" si="7"/>
        <v/>
      </c>
      <c r="AB56" s="310" t="str">
        <f t="shared" si="8"/>
        <v/>
      </c>
      <c r="AC56" s="311" t="str">
        <f t="shared" si="9"/>
        <v/>
      </c>
      <c r="AD56" s="310" t="str">
        <f t="shared" si="10"/>
        <v/>
      </c>
      <c r="AE56" s="311" t="str">
        <f t="shared" si="11"/>
        <v/>
      </c>
      <c r="AF56" s="312" t="str">
        <f t="shared" si="12"/>
        <v/>
      </c>
      <c r="AG56" s="273">
        <f t="shared" si="13"/>
        <v>15.625</v>
      </c>
      <c r="AH56" s="210">
        <f t="shared" si="14"/>
        <v>0.625</v>
      </c>
      <c r="AI56" s="374">
        <f t="shared" si="15"/>
        <v>15.625</v>
      </c>
      <c r="AJ56" s="375">
        <f t="shared" si="4"/>
        <v>74.621212121212125</v>
      </c>
      <c r="AK56" s="6"/>
      <c r="AL56" s="6"/>
      <c r="AM56" s="6"/>
      <c r="AN56" s="6"/>
      <c r="AO56" s="6"/>
      <c r="AP56" s="6"/>
    </row>
    <row r="57" spans="1:62" ht="12.75" customHeight="1" thickBot="1">
      <c r="A57" s="12">
        <f>IF('СПИСОК КЛАССА'!J57&gt;0,1,0)</f>
        <v>0</v>
      </c>
      <c r="B57" s="97">
        <v>38</v>
      </c>
      <c r="C57" s="98" t="str">
        <f>IF(NOT(ISBLANK('СПИСОК КЛАССА'!C57)),'СПИСОК КЛАССА'!C57,"")</f>
        <v/>
      </c>
      <c r="D57" s="131" t="str">
        <f>IF(NOT(ISBLANK('СПИСОК КЛАССА'!D57)),IF($A57=1,'СПИСОК КЛАССА'!D57, "УЧЕНИК НЕ ВЫПОЛНЯЛ РАБОТУ"),"")</f>
        <v/>
      </c>
      <c r="E57" s="149" t="str">
        <f>IF($C57&lt;&gt;"",'СПИСОК КЛАССА'!J57,"")</f>
        <v/>
      </c>
      <c r="F57" s="99" t="str">
        <f>IF(AND(OR($C57&lt;&gt;"",$D57&lt;&gt;""),$A57=1,$AA$6="ДА"),(IF(A57=1,IF(OR(AND(E57=1,'ОТВЕТЫ УЧАЩИХСЯ'!E57=1),AND(E57=2,'ОТВЕТЫ УЧАЩИХСЯ'!E57=2),AND(E57=3,'ОТВЕТЫ УЧАЩИХСЯ'!E57=4),AND(E57=4,'ОТВЕТЫ УЧАЩИХСЯ'!E57=2)),1,IF('ОТВЕТЫ УЧАЩИХСЯ'!E57="N",'ОТВЕТЫ УЧАЩИХСЯ'!E57,0)),"")),"")</f>
        <v/>
      </c>
      <c r="G57" s="151" t="str">
        <f>IF(AND(OR($C57&lt;&gt;"",$D57&lt;&gt;""),$A57=1,$AA$6="ДА"),(IF(A57=1,IF(OR(AND(E57=1,'ОТВЕТЫ УЧАЩИХСЯ'!F57=4),AND(E57=2,'ОТВЕТЫ УЧАЩИХСЯ'!F57=1),AND(E57=3,'ОТВЕТЫ УЧАЩИХСЯ'!F57=2),AND(E57=4,'ОТВЕТЫ УЧАЩИХСЯ'!F57=3)),1,IF('ОТВЕТЫ УЧАЩИХСЯ'!F57="N",'ОТВЕТЫ УЧАЩИХСЯ'!F57,0)),"")),"")</f>
        <v/>
      </c>
      <c r="H57" s="151" t="str">
        <f>IF(AND(OR($C57&lt;&gt;"",$D57&lt;&gt;""),$A57=1,$AA$6="ДА"),(IF(A57=1,IF(OR(AND(E57=1,'ОТВЕТЫ УЧАЩИХСЯ'!G57=4),AND(E57=2,'ОТВЕТЫ УЧАЩИХСЯ'!G57=3),AND(E57=3,'ОТВЕТЫ УЧАЩИХСЯ'!G57=4),AND(E57=4,'ОТВЕТЫ УЧАЩИХСЯ'!G57=4)),1,IF('ОТВЕТЫ УЧАЩИХСЯ'!G57="N",'ОТВЕТЫ УЧАЩИХСЯ'!G57,0)),"")),"")</f>
        <v/>
      </c>
      <c r="I57" s="151" t="str">
        <f>IF(AND(OR($C57&lt;&gt;"",$D57&lt;&gt;""),$A57=1,$AA$6="ДА"),(IF(A57=1,IF(OR(AND(E57=1,'ОТВЕТЫ УЧАЩИХСЯ'!H57=2),AND(E57=2,'ОТВЕТЫ УЧАЩИХСЯ'!H57=1),AND(E57=3,'ОТВЕТЫ УЧАЩИХСЯ'!H57=3),AND(E57=4,'ОТВЕТЫ УЧАЩИХСЯ'!H57=4)),1,IF('ОТВЕТЫ УЧАЩИХСЯ'!H57="N",'ОТВЕТЫ УЧАЩИХСЯ'!H57,0)),"")),"")</f>
        <v/>
      </c>
      <c r="J57" s="151" t="str">
        <f>IF(AND(OR($C57&lt;&gt;"",$D57&lt;&gt;""),$A57=1,$AA$6="ДА"),(IF(A57=1,IF(OR(AND(E57=1,'ОТВЕТЫ УЧАЩИХСЯ'!I57=3),AND(E57=2,'ОТВЕТЫ УЧАЩИХСЯ'!I57=4),AND(E57=3,'ОТВЕТЫ УЧАЩИХСЯ'!I57=3),AND(E57=4,'ОТВЕТЫ УЧАЩИХСЯ'!I57=1)),1,IF('ОТВЕТЫ УЧАЩИХСЯ'!I57="N",'ОТВЕТЫ УЧАЩИХСЯ'!I57,0)),"")),"")</f>
        <v/>
      </c>
      <c r="K57" s="151" t="str">
        <f>IF(AND(OR($C57&lt;&gt;"",$D57&lt;&gt;""),$A57=1,$AA$6="ДА"),(IF(A57=1,IF(OR(AND(E57=1,'ОТВЕТЫ УЧАЩИХСЯ'!J57=3),AND(E57=2,'ОТВЕТЫ УЧАЩИХСЯ'!J57=3),AND(E57=3,'ОТВЕТЫ УЧАЩИХСЯ'!J57=2),AND(E57=4,'ОТВЕТЫ УЧАЩИХСЯ'!J57=4)),1,IF('ОТВЕТЫ УЧАЩИХСЯ'!J57="N",'ОТВЕТЫ УЧАЩИХСЯ'!J57,0)),"")),"")</f>
        <v/>
      </c>
      <c r="L57" s="151" t="str">
        <f>IF(AND(OR($C57&lt;&gt;"",$D57&lt;&gt;""),$A57=1,$AA$6="ДА"),(IF(A57=1,IF(OR(AND(E57=1,'ОТВЕТЫ УЧАЩИХСЯ'!K57=2),AND(E57=2,'ОТВЕТЫ УЧАЩИХСЯ'!K57=4),AND(E57=3,'ОТВЕТЫ УЧАЩИХСЯ'!K57=1),AND(E57=4,'ОТВЕТЫ УЧАЩИХСЯ'!K57=3)),2,IF('ОТВЕТЫ УЧАЩИХСЯ'!K57="N",'ОТВЕТЫ УЧАЩИХСЯ'!K57,0)),"")),"")</f>
        <v/>
      </c>
      <c r="M57" s="151" t="str">
        <f>IF(AND(OR($C57&lt;&gt;"",$D57&lt;&gt;""),$A57=1,$AA$6="ДА"),(IF(A57=1,IF(OR(AND(E57=1,'ОТВЕТЫ УЧАЩИХСЯ'!L57=4),AND(E57=2,'ОТВЕТЫ УЧАЩИХСЯ'!L57=1),AND(E57=3,'ОТВЕТЫ УЧАЩИХСЯ'!L57=4),AND(E57=4,'ОТВЕТЫ УЧАЩИХСЯ'!L57=2)),2,IF('ОТВЕТЫ УЧАЩИХСЯ'!L57="N",'ОТВЕТЫ УЧАЩИХСЯ'!L57,0)),"")),"")</f>
        <v/>
      </c>
      <c r="N57" s="151" t="str">
        <f>IF(AND(OR($C57&lt;&gt;"",$D57&lt;&gt;""),$A57=1,$AA$6="ДА"),(IF(A57=1,IF(OR(AND(E57=1,'ОТВЕТЫ УЧАЩИХСЯ'!M57=1),AND(E57=2,'ОТВЕТЫ УЧАЩИХСЯ'!M57=3),AND(E57=3,'ОТВЕТЫ УЧАЩИХСЯ'!M57=3),AND(E57=4,'ОТВЕТЫ УЧАЩИХСЯ'!M57=1)),2,IF('ОТВЕТЫ УЧАЩИХСЯ'!M57="N",'ОТВЕТЫ УЧАЩИХСЯ'!M57,0)),"")),"")</f>
        <v/>
      </c>
      <c r="O57" s="151" t="str">
        <f>IF(AND(OR($C57&lt;&gt;"",$D57&lt;&gt;""),$A57=1,$AA$6="ДА"),(IF(A57=1,IF(OR(AND(E57=1,'ОТВЕТЫ УЧАЩИХСЯ'!N57=2),AND(E57=2,'ОТВЕТЫ УЧАЩИХСЯ'!N57=1),AND(E57=3,'ОТВЕТЫ УЧАЩИХСЯ'!N57=3),AND(E57=4,'ОТВЕТЫ УЧАЩИХСЯ'!N57=3)),1,IF('ОТВЕТЫ УЧАЩИХСЯ'!N57="N",'ОТВЕТЫ УЧАЩИХСЯ'!N57,0)),"")),"")</f>
        <v/>
      </c>
      <c r="P57" s="151" t="str">
        <f>IF(AND(OR($C57&lt;&gt;"",$D57&lt;&gt;""),$A57=1,$AA$6="ДА"),(IF(A57=1,IF(OR(AND(E57=1,'ОТВЕТЫ УЧАЩИХСЯ'!O57=3),AND(E57=2,'ОТВЕТЫ УЧАЩИХСЯ'!O57=4),AND(E57=3,'ОТВЕТЫ УЧАЩИХСЯ'!O57=2),AND(E57=4,'ОТВЕТЫ УЧАЩИХСЯ'!O57=2)),1,IF('ОТВЕТЫ УЧАЩИХСЯ'!O57="N",'ОТВЕТЫ УЧАЩИХСЯ'!O57,0)),"")),"")</f>
        <v/>
      </c>
      <c r="Q57" s="151" t="str">
        <f>IF(AND(OR($C57&lt;&gt;"",$D57&lt;&gt;""),$A57=1,$AA$6="ДА"),(IF(A57=1,IF(OR(AND(E57=1,'ОТВЕТЫ УЧАЩИХСЯ'!P57=4),AND(E57=2,'ОТВЕТЫ УЧАЩИХСЯ'!P57=2),AND(E57=3,'ОТВЕТЫ УЧАЩИХСЯ'!P57=3),AND(E57=4,'ОТВЕТЫ УЧАЩИХСЯ'!P57=2)),2,IF('ОТВЕТЫ УЧАЩИХСЯ'!P57="N",'ОТВЕТЫ УЧАЩИХСЯ'!P57,0)),"")),"")</f>
        <v/>
      </c>
      <c r="R57" s="151" t="str">
        <f>IF(AND(OR($C57&lt;&gt;"",$D57&lt;&gt;""),$A57=1,$AA$6="ДА"),(IF(A57=1,IF(OR(AND(E57=1,'ОТВЕТЫ УЧАЩИХСЯ'!Q57=4),AND(E57=2,'ОТВЕТЫ УЧАЩИХСЯ'!Q57=1),AND(E57=3,'ОТВЕТЫ УЧАЩИХСЯ'!Q57=3),AND(E57=4,'ОТВЕТЫ УЧАЩИХСЯ'!Q57=4)),1,IF('ОТВЕТЫ УЧАЩИХСЯ'!Q57="N",'ОТВЕТЫ УЧАЩИХСЯ'!Q57,0)),"")),"")</f>
        <v/>
      </c>
      <c r="S57" s="151" t="str">
        <f>IF(AND(OR($C57&lt;&gt;"",$D57&lt;&gt;""),$A57=1,$AA$6="ДА"),(IF(A57=1,IF(OR(AND(E57=1,'ОТВЕТЫ УЧАЩИХСЯ'!R57=3),AND(E57=2,'ОТВЕТЫ УЧАЩИХСЯ'!R57=4),AND(E57=3,'ОТВЕТЫ УЧАЩИХСЯ'!R57=2),AND(E57=4,'ОТВЕТЫ УЧАЩИХСЯ'!R57=1)),1,IF('ОТВЕТЫ УЧАЩИХСЯ'!R57="N",'ОТВЕТЫ УЧАЩИХСЯ'!R57,0)),"")),"")</f>
        <v/>
      </c>
      <c r="T57" s="151" t="str">
        <f>IF(AND(OR($C57&lt;&gt;"",$D57&lt;&gt;""),$A57=1,$AA$6="ДА"),(IF(A57=1,IF(OR(AND(E57=1,'ОТВЕТЫ УЧАЩИХСЯ'!S57=1),AND(E57=2,'ОТВЕТЫ УЧАЩИХСЯ'!S57=2),AND(E57=3,'ОТВЕТЫ УЧАЩИХСЯ'!S57=2),AND(E57=4,'ОТВЕТЫ УЧАЩИХСЯ'!S57=3)),1,IF('ОТВЕТЫ УЧАЩИХСЯ'!S57="N",'ОТВЕТЫ УЧАЩИХСЯ'!S57,0)),"")),"")</f>
        <v/>
      </c>
      <c r="U57" s="99" t="str">
        <f t="shared" si="5"/>
        <v/>
      </c>
      <c r="V57" s="99" t="str">
        <f>IF(AND(OR($C57&lt;&gt;"",$D57&lt;&gt;""),$A57=1,$AA$6="ДА"),(IF(A57=1,IF(OR(AND(E57=1,'ОТВЕТЫ УЧАЩИХСЯ'!T57=274),AND(E57=2,'ОТВЕТЫ УЧАЩИХСЯ'!T57=3),AND(E57=3,'ОТВЕТЫ УЧАЩИХСЯ'!T57=778),AND(E57=4,'ОТВЕТЫ УЧАЩИХСЯ'!T57=40)),1,IF('ОТВЕТЫ УЧАЩИХСЯ'!T57="N",'ОТВЕТЫ УЧАЩИХСЯ'!T57,0)),"")),"")</f>
        <v/>
      </c>
      <c r="W57" s="99" t="str">
        <f>IF(AND(OR($C57&lt;&gt;"",$D57&lt;&gt;""),$A57=1,$AA$6="ДА"),(IF(A57=1,IF(OR(AND(E57=1,'ОТВЕТЫ УЧАЩИХСЯ'!U57=49),AND(E57=2,'ОТВЕТЫ УЧАЩИХСЯ'!U57=2),AND(E57=3,'ОТВЕТЫ УЧАЩИХСЯ'!U57="САТУРН,ЮПИТЕР"),AND(E57=4,'ОТВЕТЫ УЧАЩИХСЯ'!U57=8)),1,IF('ОТВЕТЫ УЧАЩИХСЯ'!U57="N",'ОТВЕТЫ УЧАЩИХСЯ'!U57,0)),"")),"")</f>
        <v/>
      </c>
      <c r="X57" s="99" t="str">
        <f>IF(AND(OR($C57&lt;&gt;"",$D57&lt;&gt;""),$A57=1,$AA$6="ДА"),(IF(A57=1,IF(OR(AND(E57=1,'ОТВЕТЫ УЧАЩИХСЯ'!V57=20),AND(E57=2,'ОТВЕТЫ УЧАЩИХСЯ'!V57=20),AND(E57=3,'ОТВЕТЫ УЧАЩИХСЯ'!V57=22),AND(E57=4,'ОТВЕТЫ УЧАЩИХСЯ'!V57=85)),2,IF('ОТВЕТЫ УЧАЩИХСЯ'!V57="N",'ОТВЕТЫ УЧАЩИХСЯ'!V57,0)),"")),"")</f>
        <v/>
      </c>
      <c r="Y57" s="99" t="str">
        <f>IF(AND(OR($C57&lt;&gt;"",$D57&lt;&gt;""),$A57=1,$AA$6="ДА"),IF((ISBLANK($D57)),"",IF($A$20=1,'ОТВЕТЫ УЧАЩИХСЯ'!W57,"")),"")</f>
        <v/>
      </c>
      <c r="Z57" s="332" t="str">
        <f t="shared" si="6"/>
        <v/>
      </c>
      <c r="AA57" s="309" t="str">
        <f t="shared" si="7"/>
        <v/>
      </c>
      <c r="AB57" s="310" t="str">
        <f t="shared" si="8"/>
        <v/>
      </c>
      <c r="AC57" s="311" t="str">
        <f t="shared" si="9"/>
        <v/>
      </c>
      <c r="AD57" s="310" t="str">
        <f t="shared" si="10"/>
        <v/>
      </c>
      <c r="AE57" s="311" t="str">
        <f t="shared" si="11"/>
        <v/>
      </c>
      <c r="AF57" s="312" t="str">
        <f t="shared" si="12"/>
        <v/>
      </c>
      <c r="AG57" s="273">
        <f t="shared" si="13"/>
        <v>15.625</v>
      </c>
      <c r="AH57" s="210">
        <f t="shared" si="14"/>
        <v>0.625</v>
      </c>
      <c r="AI57" s="374">
        <f t="shared" si="15"/>
        <v>15.625</v>
      </c>
      <c r="AJ57" s="375">
        <f t="shared" si="4"/>
        <v>74.621212121212125</v>
      </c>
      <c r="AK57" s="6"/>
      <c r="AL57" s="6"/>
      <c r="AM57" s="6"/>
      <c r="AN57" s="6"/>
      <c r="AO57" s="6"/>
      <c r="AP57" s="6"/>
    </row>
    <row r="58" spans="1:62" ht="12.75" customHeight="1" thickBot="1">
      <c r="A58" s="12">
        <f>IF('СПИСОК КЛАССА'!J58&gt;0,1,0)</f>
        <v>0</v>
      </c>
      <c r="B58" s="97">
        <v>39</v>
      </c>
      <c r="C58" s="98" t="str">
        <f>IF(NOT(ISBLANK('СПИСОК КЛАССА'!C58)),'СПИСОК КЛАССА'!C58,"")</f>
        <v/>
      </c>
      <c r="D58" s="131" t="str">
        <f>IF(NOT(ISBLANK('СПИСОК КЛАССА'!D58)),IF($A58=1,'СПИСОК КЛАССА'!D58, "УЧЕНИК НЕ ВЫПОЛНЯЛ РАБОТУ"),"")</f>
        <v/>
      </c>
      <c r="E58" s="149" t="str">
        <f>IF($C58&lt;&gt;"",'СПИСОК КЛАССА'!J58,"")</f>
        <v/>
      </c>
      <c r="F58" s="99" t="str">
        <f>IF(AND(OR($C58&lt;&gt;"",$D58&lt;&gt;""),$A58=1,$AA$6="ДА"),(IF(A58=1,IF(OR(AND(E58=1,'ОТВЕТЫ УЧАЩИХСЯ'!E58=1),AND(E58=2,'ОТВЕТЫ УЧАЩИХСЯ'!E58=2),AND(E58=3,'ОТВЕТЫ УЧАЩИХСЯ'!E58=4),AND(E58=4,'ОТВЕТЫ УЧАЩИХСЯ'!E58=2)),1,IF('ОТВЕТЫ УЧАЩИХСЯ'!E58="N",'ОТВЕТЫ УЧАЩИХСЯ'!E58,0)),"")),"")</f>
        <v/>
      </c>
      <c r="G58" s="151" t="str">
        <f>IF(AND(OR($C58&lt;&gt;"",$D58&lt;&gt;""),$A58=1,$AA$6="ДА"),(IF(A58=1,IF(OR(AND(E58=1,'ОТВЕТЫ УЧАЩИХСЯ'!F58=4),AND(E58=2,'ОТВЕТЫ УЧАЩИХСЯ'!F58=1),AND(E58=3,'ОТВЕТЫ УЧАЩИХСЯ'!F58=2),AND(E58=4,'ОТВЕТЫ УЧАЩИХСЯ'!F58=3)),1,IF('ОТВЕТЫ УЧАЩИХСЯ'!F58="N",'ОТВЕТЫ УЧАЩИХСЯ'!F58,0)),"")),"")</f>
        <v/>
      </c>
      <c r="H58" s="151" t="str">
        <f>IF(AND(OR($C58&lt;&gt;"",$D58&lt;&gt;""),$A58=1,$AA$6="ДА"),(IF(A58=1,IF(OR(AND(E58=1,'ОТВЕТЫ УЧАЩИХСЯ'!G58=4),AND(E58=2,'ОТВЕТЫ УЧАЩИХСЯ'!G58=3),AND(E58=3,'ОТВЕТЫ УЧАЩИХСЯ'!G58=4),AND(E58=4,'ОТВЕТЫ УЧАЩИХСЯ'!G58=4)),1,IF('ОТВЕТЫ УЧАЩИХСЯ'!G58="N",'ОТВЕТЫ УЧАЩИХСЯ'!G58,0)),"")),"")</f>
        <v/>
      </c>
      <c r="I58" s="151" t="str">
        <f>IF(AND(OR($C58&lt;&gt;"",$D58&lt;&gt;""),$A58=1,$AA$6="ДА"),(IF(A58=1,IF(OR(AND(E58=1,'ОТВЕТЫ УЧАЩИХСЯ'!H58=2),AND(E58=2,'ОТВЕТЫ УЧАЩИХСЯ'!H58=1),AND(E58=3,'ОТВЕТЫ УЧАЩИХСЯ'!H58=3),AND(E58=4,'ОТВЕТЫ УЧАЩИХСЯ'!H58=4)),1,IF('ОТВЕТЫ УЧАЩИХСЯ'!H58="N",'ОТВЕТЫ УЧАЩИХСЯ'!H58,0)),"")),"")</f>
        <v/>
      </c>
      <c r="J58" s="151" t="str">
        <f>IF(AND(OR($C58&lt;&gt;"",$D58&lt;&gt;""),$A58=1,$AA$6="ДА"),(IF(A58=1,IF(OR(AND(E58=1,'ОТВЕТЫ УЧАЩИХСЯ'!I58=3),AND(E58=2,'ОТВЕТЫ УЧАЩИХСЯ'!I58=4),AND(E58=3,'ОТВЕТЫ УЧАЩИХСЯ'!I58=3),AND(E58=4,'ОТВЕТЫ УЧАЩИХСЯ'!I58=1)),1,IF('ОТВЕТЫ УЧАЩИХСЯ'!I58="N",'ОТВЕТЫ УЧАЩИХСЯ'!I58,0)),"")),"")</f>
        <v/>
      </c>
      <c r="K58" s="151" t="str">
        <f>IF(AND(OR($C58&lt;&gt;"",$D58&lt;&gt;""),$A58=1,$AA$6="ДА"),(IF(A58=1,IF(OR(AND(E58=1,'ОТВЕТЫ УЧАЩИХСЯ'!J58=3),AND(E58=2,'ОТВЕТЫ УЧАЩИХСЯ'!J58=3),AND(E58=3,'ОТВЕТЫ УЧАЩИХСЯ'!J58=2),AND(E58=4,'ОТВЕТЫ УЧАЩИХСЯ'!J58=4)),1,IF('ОТВЕТЫ УЧАЩИХСЯ'!J58="N",'ОТВЕТЫ УЧАЩИХСЯ'!J58,0)),"")),"")</f>
        <v/>
      </c>
      <c r="L58" s="151" t="str">
        <f>IF(AND(OR($C58&lt;&gt;"",$D58&lt;&gt;""),$A58=1,$AA$6="ДА"),(IF(A58=1,IF(OR(AND(E58=1,'ОТВЕТЫ УЧАЩИХСЯ'!K58=2),AND(E58=2,'ОТВЕТЫ УЧАЩИХСЯ'!K58=4),AND(E58=3,'ОТВЕТЫ УЧАЩИХСЯ'!K58=1),AND(E58=4,'ОТВЕТЫ УЧАЩИХСЯ'!K58=3)),2,IF('ОТВЕТЫ УЧАЩИХСЯ'!K58="N",'ОТВЕТЫ УЧАЩИХСЯ'!K58,0)),"")),"")</f>
        <v/>
      </c>
      <c r="M58" s="151" t="str">
        <f>IF(AND(OR($C58&lt;&gt;"",$D58&lt;&gt;""),$A58=1,$AA$6="ДА"),(IF(A58=1,IF(OR(AND(E58=1,'ОТВЕТЫ УЧАЩИХСЯ'!L58=4),AND(E58=2,'ОТВЕТЫ УЧАЩИХСЯ'!L58=1),AND(E58=3,'ОТВЕТЫ УЧАЩИХСЯ'!L58=4),AND(E58=4,'ОТВЕТЫ УЧАЩИХСЯ'!L58=2)),2,IF('ОТВЕТЫ УЧАЩИХСЯ'!L58="N",'ОТВЕТЫ УЧАЩИХСЯ'!L58,0)),"")),"")</f>
        <v/>
      </c>
      <c r="N58" s="151" t="str">
        <f>IF(AND(OR($C58&lt;&gt;"",$D58&lt;&gt;""),$A58=1,$AA$6="ДА"),(IF(A58=1,IF(OR(AND(E58=1,'ОТВЕТЫ УЧАЩИХСЯ'!M58=1),AND(E58=2,'ОТВЕТЫ УЧАЩИХСЯ'!M58=3),AND(E58=3,'ОТВЕТЫ УЧАЩИХСЯ'!M58=3),AND(E58=4,'ОТВЕТЫ УЧАЩИХСЯ'!M58=1)),2,IF('ОТВЕТЫ УЧАЩИХСЯ'!M58="N",'ОТВЕТЫ УЧАЩИХСЯ'!M58,0)),"")),"")</f>
        <v/>
      </c>
      <c r="O58" s="151" t="str">
        <f>IF(AND(OR($C58&lt;&gt;"",$D58&lt;&gt;""),$A58=1,$AA$6="ДА"),(IF(A58=1,IF(OR(AND(E58=1,'ОТВЕТЫ УЧАЩИХСЯ'!N58=2),AND(E58=2,'ОТВЕТЫ УЧАЩИХСЯ'!N58=1),AND(E58=3,'ОТВЕТЫ УЧАЩИХСЯ'!N58=3),AND(E58=4,'ОТВЕТЫ УЧАЩИХСЯ'!N58=3)),1,IF('ОТВЕТЫ УЧАЩИХСЯ'!N58="N",'ОТВЕТЫ УЧАЩИХСЯ'!N58,0)),"")),"")</f>
        <v/>
      </c>
      <c r="P58" s="151" t="str">
        <f>IF(AND(OR($C58&lt;&gt;"",$D58&lt;&gt;""),$A58=1,$AA$6="ДА"),(IF(A58=1,IF(OR(AND(E58=1,'ОТВЕТЫ УЧАЩИХСЯ'!O58=3),AND(E58=2,'ОТВЕТЫ УЧАЩИХСЯ'!O58=4),AND(E58=3,'ОТВЕТЫ УЧАЩИХСЯ'!O58=2),AND(E58=4,'ОТВЕТЫ УЧАЩИХСЯ'!O58=2)),1,IF('ОТВЕТЫ УЧАЩИХСЯ'!O58="N",'ОТВЕТЫ УЧАЩИХСЯ'!O58,0)),"")),"")</f>
        <v/>
      </c>
      <c r="Q58" s="151" t="str">
        <f>IF(AND(OR($C58&lt;&gt;"",$D58&lt;&gt;""),$A58=1,$AA$6="ДА"),(IF(A58=1,IF(OR(AND(E58=1,'ОТВЕТЫ УЧАЩИХСЯ'!P58=4),AND(E58=2,'ОТВЕТЫ УЧАЩИХСЯ'!P58=2),AND(E58=3,'ОТВЕТЫ УЧАЩИХСЯ'!P58=3),AND(E58=4,'ОТВЕТЫ УЧАЩИХСЯ'!P58=2)),2,IF('ОТВЕТЫ УЧАЩИХСЯ'!P58="N",'ОТВЕТЫ УЧАЩИХСЯ'!P58,0)),"")),"")</f>
        <v/>
      </c>
      <c r="R58" s="151" t="str">
        <f>IF(AND(OR($C58&lt;&gt;"",$D58&lt;&gt;""),$A58=1,$AA$6="ДА"),(IF(A58=1,IF(OR(AND(E58=1,'ОТВЕТЫ УЧАЩИХСЯ'!Q58=4),AND(E58=2,'ОТВЕТЫ УЧАЩИХСЯ'!Q58=1),AND(E58=3,'ОТВЕТЫ УЧАЩИХСЯ'!Q58=3),AND(E58=4,'ОТВЕТЫ УЧАЩИХСЯ'!Q58=4)),1,IF('ОТВЕТЫ УЧАЩИХСЯ'!Q58="N",'ОТВЕТЫ УЧАЩИХСЯ'!Q58,0)),"")),"")</f>
        <v/>
      </c>
      <c r="S58" s="151" t="str">
        <f>IF(AND(OR($C58&lt;&gt;"",$D58&lt;&gt;""),$A58=1,$AA$6="ДА"),(IF(A58=1,IF(OR(AND(E58=1,'ОТВЕТЫ УЧАЩИХСЯ'!R58=3),AND(E58=2,'ОТВЕТЫ УЧАЩИХСЯ'!R58=4),AND(E58=3,'ОТВЕТЫ УЧАЩИХСЯ'!R58=2),AND(E58=4,'ОТВЕТЫ УЧАЩИХСЯ'!R58=1)),1,IF('ОТВЕТЫ УЧАЩИХСЯ'!R58="N",'ОТВЕТЫ УЧАЩИХСЯ'!R58,0)),"")),"")</f>
        <v/>
      </c>
      <c r="T58" s="151" t="str">
        <f>IF(AND(OR($C58&lt;&gt;"",$D58&lt;&gt;""),$A58=1,$AA$6="ДА"),(IF(A58=1,IF(OR(AND(E58=1,'ОТВЕТЫ УЧАЩИХСЯ'!S58=1),AND(E58=2,'ОТВЕТЫ УЧАЩИХСЯ'!S58=2),AND(E58=3,'ОТВЕТЫ УЧАЩИХСЯ'!S58=2),AND(E58=4,'ОТВЕТЫ УЧАЩИХСЯ'!S58=3)),1,IF('ОТВЕТЫ УЧАЩИХСЯ'!S58="N",'ОТВЕТЫ УЧАЩИХСЯ'!S58,0)),"")),"")</f>
        <v/>
      </c>
      <c r="U58" s="368" t="str">
        <f t="shared" si="5"/>
        <v/>
      </c>
      <c r="V58" s="368" t="str">
        <f>IF(AND(OR($C58&lt;&gt;"",$D58&lt;&gt;""),$A58=1,$AA$6="ДА"),(IF(A58=1,IF(OR(AND(E58=1,'ОТВЕТЫ УЧАЩИХСЯ'!T58=274),AND(E58=2,'ОТВЕТЫ УЧАЩИХСЯ'!T58=3),AND(E58=3,'ОТВЕТЫ УЧАЩИХСЯ'!T58=778),AND(E58=4,'ОТВЕТЫ УЧАЩИХСЯ'!T58=40)),1,IF('ОТВЕТЫ УЧАЩИХСЯ'!T58="N",'ОТВЕТЫ УЧАЩИХСЯ'!T58,0)),"")),"")</f>
        <v/>
      </c>
      <c r="W58" s="368" t="str">
        <f>IF(AND(OR($C58&lt;&gt;"",$D58&lt;&gt;""),$A58=1,$AA$6="ДА"),(IF(A58=1,IF(OR(AND(E58=1,'ОТВЕТЫ УЧАЩИХСЯ'!U58=49),AND(E58=2,'ОТВЕТЫ УЧАЩИХСЯ'!U58=2),AND(E58=3,'ОТВЕТЫ УЧАЩИХСЯ'!U58="САТУРН,ЮПИТЕР"),AND(E58=4,'ОТВЕТЫ УЧАЩИХСЯ'!U58=8)),1,IF('ОТВЕТЫ УЧАЩИХСЯ'!U58="N",'ОТВЕТЫ УЧАЩИХСЯ'!U58,0)),"")),"")</f>
        <v/>
      </c>
      <c r="X58" s="368" t="str">
        <f>IF(AND(OR($C58&lt;&gt;"",$D58&lt;&gt;""),$A58=1,$AA$6="ДА"),(IF(A58=1,IF(OR(AND(E58=1,'ОТВЕТЫ УЧАЩИХСЯ'!V58=20),AND(E58=2,'ОТВЕТЫ УЧАЩИХСЯ'!V58=20),AND(E58=3,'ОТВЕТЫ УЧАЩИХСЯ'!V58=22),AND(E58=4,'ОТВЕТЫ УЧАЩИХСЯ'!V58=85)),2,IF('ОТВЕТЫ УЧАЩИХСЯ'!V58="N",'ОТВЕТЫ УЧАЩИХСЯ'!V58,0)),"")),"")</f>
        <v/>
      </c>
      <c r="Y58" s="368" t="str">
        <f>IF(AND(OR($C58&lt;&gt;"",$D58&lt;&gt;""),$A58=1,$AA$6="ДА"),IF((ISBLANK($D58)),"",IF($A$20=1,'ОТВЕТЫ УЧАЩИХСЯ'!W58,"")),"")</f>
        <v/>
      </c>
      <c r="Z58" s="332" t="str">
        <f t="shared" si="6"/>
        <v/>
      </c>
      <c r="AA58" s="309" t="str">
        <f t="shared" si="7"/>
        <v/>
      </c>
      <c r="AB58" s="310" t="str">
        <f t="shared" si="8"/>
        <v/>
      </c>
      <c r="AC58" s="311" t="str">
        <f t="shared" si="9"/>
        <v/>
      </c>
      <c r="AD58" s="310" t="str">
        <f t="shared" si="10"/>
        <v/>
      </c>
      <c r="AE58" s="311" t="str">
        <f t="shared" si="11"/>
        <v/>
      </c>
      <c r="AF58" s="312" t="str">
        <f t="shared" si="12"/>
        <v/>
      </c>
      <c r="AG58" s="369">
        <f t="shared" si="13"/>
        <v>15.625</v>
      </c>
      <c r="AH58" s="370">
        <f t="shared" si="14"/>
        <v>0.625</v>
      </c>
      <c r="AI58" s="374">
        <f t="shared" si="15"/>
        <v>15.625</v>
      </c>
      <c r="AJ58" s="375">
        <f t="shared" si="4"/>
        <v>74.621212121212125</v>
      </c>
      <c r="AK58" s="6"/>
      <c r="AL58" s="6"/>
      <c r="AM58" s="6"/>
      <c r="AN58" s="6"/>
      <c r="AO58" s="6"/>
      <c r="AP58" s="6"/>
    </row>
    <row r="59" spans="1:62" ht="12.75" customHeight="1" thickBot="1">
      <c r="A59" s="141">
        <f>IF('СПИСОК КЛАССА'!J59&gt;0,1,0)</f>
        <v>0</v>
      </c>
      <c r="B59" s="142">
        <v>40</v>
      </c>
      <c r="C59" s="143" t="str">
        <f>IF(NOT(ISBLANK('СПИСОК КЛАССА'!C59)),'СПИСОК КЛАССА'!C59,"")</f>
        <v/>
      </c>
      <c r="D59" s="145" t="str">
        <f>IF(NOT(ISBLANK('СПИСОК КЛАССА'!D59)),IF($A59=1,'СПИСОК КЛАССА'!D59, "УЧЕНИК НЕ ВЫПОЛНЯЛ РАБОТУ"),"")</f>
        <v/>
      </c>
      <c r="E59" s="150" t="str">
        <f>IF($C59&lt;&gt;"",'СПИСОК КЛАССА'!J59,"")</f>
        <v/>
      </c>
      <c r="F59" s="132" t="str">
        <f>IF(AND(OR($C59&lt;&gt;"",$D59&lt;&gt;""),$A59=1,$AA$6="ДА"),(IF(A59=1,IF(OR(AND(E59=1,'ОТВЕТЫ УЧАЩИХСЯ'!E59=1),AND(E59=2,'ОТВЕТЫ УЧАЩИХСЯ'!E59=2),AND(E59=3,'ОТВЕТЫ УЧАЩИХСЯ'!E59=4),AND(E59=4,'ОТВЕТЫ УЧАЩИХСЯ'!E59=2)),1,IF('ОТВЕТЫ УЧАЩИХСЯ'!E59="N",'ОТВЕТЫ УЧАЩИХСЯ'!E59,0)),"")),"")</f>
        <v/>
      </c>
      <c r="G59" s="154" t="str">
        <f>IF(AND(OR($C59&lt;&gt;"",$D59&lt;&gt;""),$A59=1,$AA$6="ДА"),(IF(A59=1,IF(OR(AND(E59=1,'ОТВЕТЫ УЧАЩИХСЯ'!F59=4),AND(E59=2,'ОТВЕТЫ УЧАЩИХСЯ'!F59=1),AND(E59=3,'ОТВЕТЫ УЧАЩИХСЯ'!F59=2),AND(E59=4,'ОТВЕТЫ УЧАЩИХСЯ'!F59=3)),1,IF('ОТВЕТЫ УЧАЩИХСЯ'!F59="N",'ОТВЕТЫ УЧАЩИХСЯ'!F59,0)),"")),"")</f>
        <v/>
      </c>
      <c r="H59" s="154" t="str">
        <f>IF(AND(OR($C59&lt;&gt;"",$D59&lt;&gt;""),$A59=1,$AA$6="ДА"),(IF(A59=1,IF(OR(AND(E59=1,'ОТВЕТЫ УЧАЩИХСЯ'!G59=4),AND(E59=2,'ОТВЕТЫ УЧАЩИХСЯ'!G59=3),AND(E59=3,'ОТВЕТЫ УЧАЩИХСЯ'!G59=4),AND(E59=4,'ОТВЕТЫ УЧАЩИХСЯ'!G59=4)),1,IF('ОТВЕТЫ УЧАЩИХСЯ'!G59="N",'ОТВЕТЫ УЧАЩИХСЯ'!G59,0)),"")),"")</f>
        <v/>
      </c>
      <c r="I59" s="154" t="str">
        <f>IF(AND(OR($C59&lt;&gt;"",$D59&lt;&gt;""),$A59=1,$AA$6="ДА"),(IF(A59=1,IF(OR(AND(E59=1,'ОТВЕТЫ УЧАЩИХСЯ'!H59=2),AND(E59=2,'ОТВЕТЫ УЧАЩИХСЯ'!H59=1),AND(E59=3,'ОТВЕТЫ УЧАЩИХСЯ'!H59=3),AND(E59=4,'ОТВЕТЫ УЧАЩИХСЯ'!H59=4)),1,IF('ОТВЕТЫ УЧАЩИХСЯ'!H59="N",'ОТВЕТЫ УЧАЩИХСЯ'!H59,0)),"")),"")</f>
        <v/>
      </c>
      <c r="J59" s="154" t="str">
        <f>IF(AND(OR($C59&lt;&gt;"",$D59&lt;&gt;""),$A59=1,$AA$6="ДА"),(IF(A59=1,IF(OR(AND(E59=1,'ОТВЕТЫ УЧАЩИХСЯ'!I59=3),AND(E59=2,'ОТВЕТЫ УЧАЩИХСЯ'!I59=4),AND(E59=3,'ОТВЕТЫ УЧАЩИХСЯ'!I59=3),AND(E59=4,'ОТВЕТЫ УЧАЩИХСЯ'!I59=1)),1,IF('ОТВЕТЫ УЧАЩИХСЯ'!I59="N",'ОТВЕТЫ УЧАЩИХСЯ'!I59,0)),"")),"")</f>
        <v/>
      </c>
      <c r="K59" s="154" t="str">
        <f>IF(AND(OR($C59&lt;&gt;"",$D59&lt;&gt;""),$A59=1,$AA$6="ДА"),(IF(A59=1,IF(OR(AND(E59=1,'ОТВЕТЫ УЧАЩИХСЯ'!J59=3),AND(E59=2,'ОТВЕТЫ УЧАЩИХСЯ'!J59=3),AND(E59=3,'ОТВЕТЫ УЧАЩИХСЯ'!J59=2),AND(E59=4,'ОТВЕТЫ УЧАЩИХСЯ'!J59=4)),1,IF('ОТВЕТЫ УЧАЩИХСЯ'!J59="N",'ОТВЕТЫ УЧАЩИХСЯ'!J59,0)),"")),"")</f>
        <v/>
      </c>
      <c r="L59" s="154" t="str">
        <f>IF(AND(OR($C59&lt;&gt;"",$D59&lt;&gt;""),$A59=1,$AA$6="ДА"),(IF(A59=1,IF(OR(AND(E59=1,'ОТВЕТЫ УЧАЩИХСЯ'!K59=2),AND(E59=2,'ОТВЕТЫ УЧАЩИХСЯ'!K59=4),AND(E59=3,'ОТВЕТЫ УЧАЩИХСЯ'!K59=1),AND(E59=4,'ОТВЕТЫ УЧАЩИХСЯ'!K59=3)),2,IF('ОТВЕТЫ УЧАЩИХСЯ'!K59="N",'ОТВЕТЫ УЧАЩИХСЯ'!K59,0)),"")),"")</f>
        <v/>
      </c>
      <c r="M59" s="154" t="str">
        <f>IF(AND(OR($C59&lt;&gt;"",$D59&lt;&gt;""),$A59=1,$AA$6="ДА"),(IF(A59=1,IF(OR(AND(E59=1,'ОТВЕТЫ УЧАЩИХСЯ'!L59=4),AND(E59=2,'ОТВЕТЫ УЧАЩИХСЯ'!L59=1),AND(E59=3,'ОТВЕТЫ УЧАЩИХСЯ'!L59=4),AND(E59=4,'ОТВЕТЫ УЧАЩИХСЯ'!L59=2)),2,IF('ОТВЕТЫ УЧАЩИХСЯ'!L59="N",'ОТВЕТЫ УЧАЩИХСЯ'!L59,0)),"")),"")</f>
        <v/>
      </c>
      <c r="N59" s="154" t="str">
        <f>IF(AND(OR($C59&lt;&gt;"",$D59&lt;&gt;""),$A59=1,$AA$6="ДА"),(IF(A59=1,IF(OR(AND(E59=1,'ОТВЕТЫ УЧАЩИХСЯ'!M59=1),AND(E59=2,'ОТВЕТЫ УЧАЩИХСЯ'!M59=3),AND(E59=3,'ОТВЕТЫ УЧАЩИХСЯ'!M59=3),AND(E59=4,'ОТВЕТЫ УЧАЩИХСЯ'!M59=1)),2,IF('ОТВЕТЫ УЧАЩИХСЯ'!M59="N",'ОТВЕТЫ УЧАЩИХСЯ'!M59,0)),"")),"")</f>
        <v/>
      </c>
      <c r="O59" s="154" t="str">
        <f>IF(AND(OR($C59&lt;&gt;"",$D59&lt;&gt;""),$A59=1,$AA$6="ДА"),(IF(A59=1,IF(OR(AND(E59=1,'ОТВЕТЫ УЧАЩИХСЯ'!N59=2),AND(E59=2,'ОТВЕТЫ УЧАЩИХСЯ'!N59=1),AND(E59=3,'ОТВЕТЫ УЧАЩИХСЯ'!N59=3),AND(E59=4,'ОТВЕТЫ УЧАЩИХСЯ'!N59=3)),1,IF('ОТВЕТЫ УЧАЩИХСЯ'!N59="N",'ОТВЕТЫ УЧАЩИХСЯ'!N59,0)),"")),"")</f>
        <v/>
      </c>
      <c r="P59" s="154" t="str">
        <f>IF(AND(OR($C59&lt;&gt;"",$D59&lt;&gt;""),$A59=1,$AA$6="ДА"),(IF(A59=1,IF(OR(AND(E59=1,'ОТВЕТЫ УЧАЩИХСЯ'!O59=3),AND(E59=2,'ОТВЕТЫ УЧАЩИХСЯ'!O59=4),AND(E59=3,'ОТВЕТЫ УЧАЩИХСЯ'!O59=2),AND(E59=4,'ОТВЕТЫ УЧАЩИХСЯ'!O59=2)),1,IF('ОТВЕТЫ УЧАЩИХСЯ'!O59="N",'ОТВЕТЫ УЧАЩИХСЯ'!O59,0)),"")),"")</f>
        <v/>
      </c>
      <c r="Q59" s="154" t="str">
        <f>IF(AND(OR($C59&lt;&gt;"",$D59&lt;&gt;""),$A59=1,$AA$6="ДА"),(IF(A59=1,IF(OR(AND(E59=1,'ОТВЕТЫ УЧАЩИХСЯ'!P59=4),AND(E59=2,'ОТВЕТЫ УЧАЩИХСЯ'!P59=2),AND(E59=3,'ОТВЕТЫ УЧАЩИХСЯ'!P59=3),AND(E59=4,'ОТВЕТЫ УЧАЩИХСЯ'!P59=2)),2,IF('ОТВЕТЫ УЧАЩИХСЯ'!P59="N",'ОТВЕТЫ УЧАЩИХСЯ'!P59,0)),"")),"")</f>
        <v/>
      </c>
      <c r="R59" s="154" t="str">
        <f>IF(AND(OR($C59&lt;&gt;"",$D59&lt;&gt;""),$A59=1,$AA$6="ДА"),(IF(A59=1,IF(OR(AND(E59=1,'ОТВЕТЫ УЧАЩИХСЯ'!Q59=4),AND(E59=2,'ОТВЕТЫ УЧАЩИХСЯ'!Q59=1),AND(E59=3,'ОТВЕТЫ УЧАЩИХСЯ'!Q59=3),AND(E59=4,'ОТВЕТЫ УЧАЩИХСЯ'!Q59=4)),1,IF('ОТВЕТЫ УЧАЩИХСЯ'!Q59="N",'ОТВЕТЫ УЧАЩИХСЯ'!Q59,0)),"")),"")</f>
        <v/>
      </c>
      <c r="S59" s="154" t="str">
        <f>IF(AND(OR($C59&lt;&gt;"",$D59&lt;&gt;""),$A59=1,$AA$6="ДА"),(IF(A59=1,IF(OR(AND(E59=1,'ОТВЕТЫ УЧАЩИХСЯ'!R59=3),AND(E59=2,'ОТВЕТЫ УЧАЩИХСЯ'!R59=4),AND(E59=3,'ОТВЕТЫ УЧАЩИХСЯ'!R59=2),AND(E59=4,'ОТВЕТЫ УЧАЩИХСЯ'!R59=1)),1,IF('ОТВЕТЫ УЧАЩИХСЯ'!R59="N",'ОТВЕТЫ УЧАЩИХСЯ'!R59,0)),"")),"")</f>
        <v/>
      </c>
      <c r="T59" s="154" t="str">
        <f>IF(AND(OR($C59&lt;&gt;"",$D59&lt;&gt;""),$A59=1,$AA$6="ДА"),(IF(A59=1,IF(OR(AND(E59=1,'ОТВЕТЫ УЧАЩИХСЯ'!S59=1),AND(E59=2,'ОТВЕТЫ УЧАЩИХСЯ'!S59=2),AND(E59=3,'ОТВЕТЫ УЧАЩИХСЯ'!S59=2),AND(E59=4,'ОТВЕТЫ УЧАЩИХСЯ'!S59=3)),1,IF('ОТВЕТЫ УЧАЩИХСЯ'!S59="N",'ОТВЕТЫ УЧАЩИХСЯ'!S59,0)),"")),"")</f>
        <v/>
      </c>
      <c r="U59" s="132" t="str">
        <f>IF(AND(OR($C59&lt;&gt;"",$D59&lt;&gt;""),$A59=1,$AA$6="ДА"),(IF(A59=1, IF(AND(V59="N",W59="N"),"N", IF(SUM(V59:W59)=2,2, IF( SUM(V59:W59)=1,1,0))))),"")</f>
        <v/>
      </c>
      <c r="V59" s="132" t="str">
        <f>IF(AND(OR($C59&lt;&gt;"",$D59&lt;&gt;""),$A59=1,$AA$6="ДА"),(IF(A59=1,IF(OR(AND(E59=1,'ОТВЕТЫ УЧАЩИХСЯ'!T59=274),AND(E59=2,'ОТВЕТЫ УЧАЩИХСЯ'!T59=3),AND(E59=3,'ОТВЕТЫ УЧАЩИХСЯ'!T59=778),AND(E59=4,'ОТВЕТЫ УЧАЩИХСЯ'!T59=40)),1,IF('ОТВЕТЫ УЧАЩИХСЯ'!T59="N",'ОТВЕТЫ УЧАЩИХСЯ'!T59,0)),"")),"")</f>
        <v/>
      </c>
      <c r="W59" s="132" t="str">
        <f>IF(AND(OR($C59&lt;&gt;"",$D59&lt;&gt;""),$A59=1,$AA$6="ДА"),(IF(A59=1,IF(OR(AND(E59=1,'ОТВЕТЫ УЧАЩИХСЯ'!U59=49),AND(E59=2,'ОТВЕТЫ УЧАЩИХСЯ'!U59=2),AND(E59=3,'ОТВЕТЫ УЧАЩИХСЯ'!U59="САТУРН,ЮПИТЕР"),AND(E59=4,'ОТВЕТЫ УЧАЩИХСЯ'!U59=8)),1,IF('ОТВЕТЫ УЧАЩИХСЯ'!U59="N",'ОТВЕТЫ УЧАЩИХСЯ'!U59,0)),"")),"")</f>
        <v/>
      </c>
      <c r="X59" s="132" t="str">
        <f>IF(AND(OR($C59&lt;&gt;"",$D59&lt;&gt;""),$A59=1,$AA$6="ДА"),(IF(A59=1,IF(OR(AND(E59=1,'ОТВЕТЫ УЧАЩИХСЯ'!V59=20),AND(E59=2,'ОТВЕТЫ УЧАЩИХСЯ'!V59=20),AND(E59=3,'ОТВЕТЫ УЧАЩИХСЯ'!V59=22),AND(E59=4,'ОТВЕТЫ УЧАЩИХСЯ'!V59=85)),2,IF('ОТВЕТЫ УЧАЩИХСЯ'!V59="N",'ОТВЕТЫ УЧАЩИХСЯ'!V59,0)),"")),"")</f>
        <v/>
      </c>
      <c r="Y59" s="132" t="str">
        <f>IF(AND(OR($C59&lt;&gt;"",$D59&lt;&gt;""),$A59=1,$AA$6="ДА"),IF((ISBLANK($D59)),"",IF($A$20=1,'ОТВЕТЫ УЧАЩИХСЯ'!W59,"")),"")</f>
        <v/>
      </c>
      <c r="Z59" s="332" t="str">
        <f>IF( A59=0, "",SUM(F59:U59,X59,Y59) )</f>
        <v/>
      </c>
      <c r="AA59" s="309" t="str">
        <f t="shared" si="7"/>
        <v/>
      </c>
      <c r="AB59" s="310" t="str">
        <f t="shared" si="8"/>
        <v/>
      </c>
      <c r="AC59" s="311" t="str">
        <f t="shared" si="9"/>
        <v/>
      </c>
      <c r="AD59" s="310" t="str">
        <f t="shared" si="10"/>
        <v/>
      </c>
      <c r="AE59" s="311" t="str">
        <f t="shared" si="11"/>
        <v/>
      </c>
      <c r="AF59" s="312" t="str">
        <f t="shared" si="12"/>
        <v/>
      </c>
      <c r="AG59" s="371">
        <f t="shared" si="13"/>
        <v>15.625</v>
      </c>
      <c r="AH59" s="372">
        <f t="shared" si="14"/>
        <v>0.625</v>
      </c>
      <c r="AI59" s="374">
        <f t="shared" si="15"/>
        <v>15.625</v>
      </c>
      <c r="AJ59" s="375">
        <f t="shared" si="4"/>
        <v>74.621212121212125</v>
      </c>
      <c r="AK59" s="6"/>
      <c r="AL59" s="6"/>
      <c r="AM59" s="6"/>
      <c r="AN59" s="6"/>
      <c r="AO59" s="6"/>
      <c r="AP59" s="6"/>
    </row>
    <row r="60" spans="1:6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6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1:6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1:6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</row>
    <row r="148" spans="1:6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</row>
    <row r="149" spans="1:6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6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1:6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1:6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1:6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6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1:6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</row>
    <row r="161" spans="1:6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: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</sheetData>
  <sheetProtection password="C62D" sheet="1" objects="1" scenarios="1" selectLockedCells="1" selectUnlockedCells="1"/>
  <protectedRanges>
    <protectedRange sqref="AA6" name="Диапазон1"/>
  </protectedRanges>
  <customSheetViews>
    <customSheetView guid="{BFE542F4-8A0C-4C42-A5CA-C7B0ACF2717E}" scale="90" hiddenRows="1" hiddenColumns="1" topLeftCell="C1">
      <selection activeCell="AA6" sqref="AA6"/>
      <pageMargins left="0.17" right="0.19" top="0.50749999999999995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23">
    <mergeCell ref="I2:K2"/>
    <mergeCell ref="L2:N2"/>
    <mergeCell ref="O2:P2"/>
    <mergeCell ref="C8:AB8"/>
    <mergeCell ref="K6:N6"/>
    <mergeCell ref="E2:H2"/>
    <mergeCell ref="C4:F4"/>
    <mergeCell ref="G4:Y4"/>
    <mergeCell ref="B9:B11"/>
    <mergeCell ref="C9:C11"/>
    <mergeCell ref="AA9:AA11"/>
    <mergeCell ref="Z9:Z11"/>
    <mergeCell ref="D9:D11"/>
    <mergeCell ref="E9:E11"/>
    <mergeCell ref="F9:Y10"/>
    <mergeCell ref="AC6:AF6"/>
    <mergeCell ref="AC7:AE7"/>
    <mergeCell ref="AC8:AE8"/>
    <mergeCell ref="AB9:AB11"/>
    <mergeCell ref="AC9:AC11"/>
    <mergeCell ref="AD9:AD11"/>
    <mergeCell ref="AE9:AE11"/>
    <mergeCell ref="AF9:AF11"/>
  </mergeCells>
  <phoneticPr fontId="0" type="noConversion"/>
  <conditionalFormatting sqref="F20:Y59">
    <cfRule type="expression" dxfId="1" priority="8" stopIfTrue="1">
      <formula>AND(OR($C20&lt;&gt;"",$D20&lt;&gt;""),$A20=1,ISBLANK(F20))</formula>
    </cfRule>
  </conditionalFormatting>
  <conditionalFormatting sqref="AA6">
    <cfRule type="cellIs" dxfId="0" priority="5" stopIfTrue="1" operator="equal">
      <formula>"НЕТ"</formula>
    </cfRule>
  </conditionalFormatting>
  <dataValidations xWindow="819" yWindow="265" count="2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A6">
      <formula1>"ДА,НЕТ"</formula1>
    </dataValidation>
    <dataValidation allowBlank="1" showDropDown="1" showInputMessage="1" showErrorMessage="1" sqref="F20:Y59"/>
  </dataValidations>
  <pageMargins left="0.17" right="0.19" top="0.50749999999999995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  <ignoredErrors>
    <ignoredError sqref="K6" unlockedFormula="1"/>
  </ignoredError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workbookViewId="0">
      <selection activeCell="C6" sqref="C6"/>
    </sheetView>
  </sheetViews>
  <sheetFormatPr defaultColWidth="58.5703125" defaultRowHeight="12.75"/>
  <cols>
    <col min="1" max="1" width="8.140625" style="49" customWidth="1"/>
    <col min="2" max="2" width="59.7109375" style="49" customWidth="1"/>
    <col min="3" max="3" width="15.140625" style="49" customWidth="1"/>
    <col min="4" max="4" width="6.28515625" style="49" customWidth="1"/>
    <col min="5" max="5" width="7.85546875" style="49" customWidth="1"/>
    <col min="6" max="6" width="6.5703125" style="49" customWidth="1"/>
    <col min="7" max="7" width="8.42578125" style="49" customWidth="1"/>
    <col min="8" max="8" width="6.5703125" style="49" customWidth="1"/>
    <col min="9" max="9" width="9.28515625" style="49" customWidth="1"/>
    <col min="10" max="10" width="7" style="49" customWidth="1"/>
    <col min="11" max="11" width="7.140625" style="49" customWidth="1"/>
    <col min="12" max="234" width="9.140625" style="49" customWidth="1"/>
    <col min="235" max="235" width="5.5703125" style="49" customWidth="1"/>
    <col min="236" max="16384" width="58.5703125" style="49"/>
  </cols>
  <sheetData>
    <row r="1" spans="1:11" ht="15.75">
      <c r="A1" s="489" t="s">
        <v>198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31.5" customHeight="1">
      <c r="A2" s="100" t="s">
        <v>88</v>
      </c>
      <c r="B2" s="491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2" s="491"/>
      <c r="D2" s="491"/>
      <c r="E2" s="491"/>
      <c r="F2" s="491"/>
      <c r="G2" s="493" t="s">
        <v>89</v>
      </c>
      <c r="H2" s="493"/>
      <c r="I2" s="101" t="str">
        <f>'СПИСОК КЛАССА'!J1</f>
        <v>0502</v>
      </c>
    </row>
    <row r="3" spans="1:11" ht="16.5" thickBo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1:11" ht="46.5" customHeight="1">
      <c r="A4" s="497" t="s">
        <v>85</v>
      </c>
      <c r="B4" s="499" t="s">
        <v>147</v>
      </c>
      <c r="C4" s="495" t="s">
        <v>148</v>
      </c>
      <c r="D4" s="501" t="s">
        <v>79</v>
      </c>
      <c r="E4" s="501" t="s">
        <v>86</v>
      </c>
      <c r="F4" s="490" t="s">
        <v>80</v>
      </c>
      <c r="G4" s="490"/>
      <c r="H4" s="490" t="s">
        <v>81</v>
      </c>
      <c r="I4" s="490"/>
      <c r="J4" s="490" t="s">
        <v>90</v>
      </c>
      <c r="K4" s="492"/>
    </row>
    <row r="5" spans="1:11" ht="28.5" customHeight="1" thickBot="1">
      <c r="A5" s="498"/>
      <c r="B5" s="500"/>
      <c r="C5" s="496"/>
      <c r="D5" s="502"/>
      <c r="E5" s="502"/>
      <c r="F5" s="336" t="s">
        <v>82</v>
      </c>
      <c r="G5" s="336" t="s">
        <v>83</v>
      </c>
      <c r="H5" s="336" t="s">
        <v>82</v>
      </c>
      <c r="I5" s="336" t="s">
        <v>83</v>
      </c>
      <c r="J5" s="336" t="s">
        <v>82</v>
      </c>
      <c r="K5" s="157" t="s">
        <v>83</v>
      </c>
    </row>
    <row r="6" spans="1:11" ht="27" customHeight="1">
      <c r="A6" s="344">
        <v>1</v>
      </c>
      <c r="B6" s="343" t="s">
        <v>179</v>
      </c>
      <c r="C6" s="345"/>
      <c r="D6" s="334" t="s">
        <v>84</v>
      </c>
      <c r="E6" s="334" t="s">
        <v>92</v>
      </c>
      <c r="F6" s="334">
        <f>Результаты_Класс!F17</f>
        <v>21</v>
      </c>
      <c r="G6" s="346">
        <f>F6/'ОТВЕТЫ УЧАЩИХСЯ'!$E$7</f>
        <v>0.875</v>
      </c>
      <c r="H6" s="334">
        <f>Результаты_Класс!F18</f>
        <v>3</v>
      </c>
      <c r="I6" s="333">
        <f>H6/'ОТВЕТЫ УЧАЩИХСЯ'!$E$7</f>
        <v>0.125</v>
      </c>
      <c r="J6" s="334">
        <f>Результаты_Класс!F19</f>
        <v>0</v>
      </c>
      <c r="K6" s="335">
        <f>J6/'ОТВЕТЫ УЧАЩИХСЯ'!$E$7</f>
        <v>0</v>
      </c>
    </row>
    <row r="7" spans="1:11" ht="18.75" customHeight="1">
      <c r="A7" s="339">
        <v>2</v>
      </c>
      <c r="B7" s="261" t="s">
        <v>180</v>
      </c>
      <c r="C7" s="342"/>
      <c r="D7" s="279" t="s">
        <v>84</v>
      </c>
      <c r="E7" s="279" t="s">
        <v>92</v>
      </c>
      <c r="F7" s="279">
        <f>Результаты_Класс!G17</f>
        <v>22</v>
      </c>
      <c r="G7" s="280">
        <f>F7/'ОТВЕТЫ УЧАЩИХСЯ'!$E$7</f>
        <v>0.91666666666666663</v>
      </c>
      <c r="H7" s="279">
        <f>Результаты_Класс!G18</f>
        <v>2</v>
      </c>
      <c r="I7" s="280">
        <f>H7/'ОТВЕТЫ УЧАЩИХСЯ'!$E$7</f>
        <v>8.3333333333333329E-2</v>
      </c>
      <c r="J7" s="279">
        <f>Результаты_Класс!G19</f>
        <v>0</v>
      </c>
      <c r="K7" s="156">
        <f>J7/'ОТВЕТЫ УЧАЩИХСЯ'!$E$7</f>
        <v>0</v>
      </c>
    </row>
    <row r="8" spans="1:11" ht="25.5" customHeight="1">
      <c r="A8" s="339">
        <v>3</v>
      </c>
      <c r="B8" s="261" t="s">
        <v>181</v>
      </c>
      <c r="C8" s="342"/>
      <c r="D8" s="279" t="s">
        <v>84</v>
      </c>
      <c r="E8" s="279" t="s">
        <v>92</v>
      </c>
      <c r="F8" s="279">
        <f>Результаты_Класс!H17</f>
        <v>19</v>
      </c>
      <c r="G8" s="280">
        <f>F8/'ОТВЕТЫ УЧАЩИХСЯ'!$E$7</f>
        <v>0.79166666666666663</v>
      </c>
      <c r="H8" s="279">
        <f>Результаты_Класс!H18</f>
        <v>5</v>
      </c>
      <c r="I8" s="280">
        <f>H8/'ОТВЕТЫ УЧАЩИХСЯ'!$E$7</f>
        <v>0.20833333333333334</v>
      </c>
      <c r="J8" s="279">
        <f>Результаты_Класс!H19</f>
        <v>0</v>
      </c>
      <c r="K8" s="156">
        <f>J8/'ОТВЕТЫ УЧАЩИХСЯ'!$E$7</f>
        <v>0</v>
      </c>
    </row>
    <row r="9" spans="1:11" ht="23.25" customHeight="1">
      <c r="A9" s="339">
        <v>4</v>
      </c>
      <c r="B9" s="261" t="s">
        <v>182</v>
      </c>
      <c r="C9" s="342"/>
      <c r="D9" s="279" t="s">
        <v>84</v>
      </c>
      <c r="E9" s="279" t="s">
        <v>92</v>
      </c>
      <c r="F9" s="279">
        <f>Результаты_Класс!I17</f>
        <v>14</v>
      </c>
      <c r="G9" s="280">
        <f>F9/'ОТВЕТЫ УЧАЩИХСЯ'!$E$7</f>
        <v>0.58333333333333337</v>
      </c>
      <c r="H9" s="279">
        <f>Результаты_Класс!I18</f>
        <v>9</v>
      </c>
      <c r="I9" s="280">
        <f>H9/'ОТВЕТЫ УЧАЩИХСЯ'!$E$7</f>
        <v>0.375</v>
      </c>
      <c r="J9" s="279">
        <f>Результаты_Класс!I19</f>
        <v>1</v>
      </c>
      <c r="K9" s="156">
        <f>J9/'ОТВЕТЫ УЧАЩИХСЯ'!$E$7</f>
        <v>4.1666666666666664E-2</v>
      </c>
    </row>
    <row r="10" spans="1:11" ht="17.25" customHeight="1">
      <c r="A10" s="339">
        <v>5</v>
      </c>
      <c r="B10" s="261" t="s">
        <v>183</v>
      </c>
      <c r="C10" s="342"/>
      <c r="D10" s="279" t="s">
        <v>84</v>
      </c>
      <c r="E10" s="279" t="s">
        <v>92</v>
      </c>
      <c r="F10" s="279">
        <f>Результаты_Класс!J17</f>
        <v>17</v>
      </c>
      <c r="G10" s="280">
        <f>F10/'ОТВЕТЫ УЧАЩИХСЯ'!$E$7</f>
        <v>0.70833333333333337</v>
      </c>
      <c r="H10" s="279">
        <f>Результаты_Класс!J18</f>
        <v>7</v>
      </c>
      <c r="I10" s="280">
        <f>H10/'ОТВЕТЫ УЧАЩИХСЯ'!$E$7</f>
        <v>0.29166666666666669</v>
      </c>
      <c r="J10" s="279">
        <f>Результаты_Класс!J19</f>
        <v>0</v>
      </c>
      <c r="K10" s="156">
        <f>J10/'ОТВЕТЫ УЧАЩИХСЯ'!$E$7</f>
        <v>0</v>
      </c>
    </row>
    <row r="11" spans="1:11" ht="21" customHeight="1">
      <c r="A11" s="339">
        <v>6</v>
      </c>
      <c r="B11" s="261" t="s">
        <v>184</v>
      </c>
      <c r="C11" s="342"/>
      <c r="D11" s="279" t="s">
        <v>84</v>
      </c>
      <c r="E11" s="279" t="s">
        <v>92</v>
      </c>
      <c r="F11" s="279">
        <f>Результаты_Класс!K17</f>
        <v>18</v>
      </c>
      <c r="G11" s="280">
        <f>F11/'ОТВЕТЫ УЧАЩИХСЯ'!$E$7</f>
        <v>0.75</v>
      </c>
      <c r="H11" s="279">
        <f>Результаты_Класс!K18</f>
        <v>6</v>
      </c>
      <c r="I11" s="280">
        <f>H11/'ОТВЕТЫ УЧАЩИХСЯ'!$E$7</f>
        <v>0.25</v>
      </c>
      <c r="J11" s="279">
        <f>Результаты_Класс!K19</f>
        <v>0</v>
      </c>
      <c r="K11" s="156">
        <f>J11/'ОТВЕТЫ УЧАЩИХСЯ'!$E$7</f>
        <v>0</v>
      </c>
    </row>
    <row r="12" spans="1:11" ht="19.5" customHeight="1">
      <c r="A12" s="339">
        <v>7</v>
      </c>
      <c r="B12" s="261" t="s">
        <v>185</v>
      </c>
      <c r="C12" s="342"/>
      <c r="D12" s="279" t="s">
        <v>87</v>
      </c>
      <c r="E12" s="279" t="s">
        <v>197</v>
      </c>
      <c r="F12" s="279">
        <f>Результаты_Класс!L16</f>
        <v>9</v>
      </c>
      <c r="G12" s="280">
        <f>F12/'ОТВЕТЫ УЧАЩИХСЯ'!$E$7</f>
        <v>0.375</v>
      </c>
      <c r="H12" s="279">
        <f>Результаты_Класс!L18</f>
        <v>15</v>
      </c>
      <c r="I12" s="280">
        <f>H12/'ОТВЕТЫ УЧАЩИХСЯ'!$E$7</f>
        <v>0.625</v>
      </c>
      <c r="J12" s="279">
        <f>Результаты_Класс!L19</f>
        <v>0</v>
      </c>
      <c r="K12" s="156">
        <f>J12/'ОТВЕТЫ УЧАЩИХСЯ'!$E$7</f>
        <v>0</v>
      </c>
    </row>
    <row r="13" spans="1:11" ht="19.5" customHeight="1">
      <c r="A13" s="339">
        <v>8</v>
      </c>
      <c r="B13" s="147" t="s">
        <v>186</v>
      </c>
      <c r="C13" s="342"/>
      <c r="D13" s="279" t="s">
        <v>87</v>
      </c>
      <c r="E13" s="279" t="s">
        <v>197</v>
      </c>
      <c r="F13" s="279">
        <f>Результаты_Класс!M16</f>
        <v>15</v>
      </c>
      <c r="G13" s="280">
        <f>F13/'ОТВЕТЫ УЧАЩИХСЯ'!$E$7</f>
        <v>0.625</v>
      </c>
      <c r="H13" s="279">
        <f>Результаты_Класс!M18</f>
        <v>9</v>
      </c>
      <c r="I13" s="280">
        <f>H13/'ОТВЕТЫ УЧАЩИХСЯ'!$E$7</f>
        <v>0.375</v>
      </c>
      <c r="J13" s="279">
        <f>Результаты_Класс!M19</f>
        <v>0</v>
      </c>
      <c r="K13" s="156">
        <f>J13/'ОТВЕТЫ УЧАЩИХСЯ'!$E$7</f>
        <v>0</v>
      </c>
    </row>
    <row r="14" spans="1:11" ht="19.5" customHeight="1">
      <c r="A14" s="339">
        <v>9</v>
      </c>
      <c r="B14" s="147" t="s">
        <v>187</v>
      </c>
      <c r="C14" s="342"/>
      <c r="D14" s="279" t="s">
        <v>87</v>
      </c>
      <c r="E14" s="279" t="s">
        <v>197</v>
      </c>
      <c r="F14" s="279">
        <f>Результаты_Класс!N16</f>
        <v>16</v>
      </c>
      <c r="G14" s="280">
        <f>F14/'ОТВЕТЫ УЧАЩИХСЯ'!$E$7</f>
        <v>0.66666666666666663</v>
      </c>
      <c r="H14" s="279">
        <f>Результаты_Класс!N18</f>
        <v>7</v>
      </c>
      <c r="I14" s="280">
        <f>H14/'ОТВЕТЫ УЧАЩИХСЯ'!$E$7</f>
        <v>0.29166666666666669</v>
      </c>
      <c r="J14" s="279">
        <f>Результаты_Класс!N19</f>
        <v>1</v>
      </c>
      <c r="K14" s="156">
        <f>J14/'ОТВЕТЫ УЧАЩИХСЯ'!$E$7</f>
        <v>4.1666666666666664E-2</v>
      </c>
    </row>
    <row r="15" spans="1:11" ht="19.5" customHeight="1">
      <c r="A15" s="339">
        <v>10</v>
      </c>
      <c r="B15" s="261" t="s">
        <v>188</v>
      </c>
      <c r="C15" s="342"/>
      <c r="D15" s="279" t="s">
        <v>84</v>
      </c>
      <c r="E15" s="279" t="s">
        <v>92</v>
      </c>
      <c r="F15" s="279">
        <f>Результаты_Класс!O17</f>
        <v>16</v>
      </c>
      <c r="G15" s="280">
        <f>F15/'ОТВЕТЫ УЧАЩИХСЯ'!$E$7</f>
        <v>0.66666666666666663</v>
      </c>
      <c r="H15" s="279">
        <f>Результаты_Класс!O18</f>
        <v>8</v>
      </c>
      <c r="I15" s="280">
        <f>H15/'ОТВЕТЫ УЧАЩИХСЯ'!$E$7</f>
        <v>0.33333333333333331</v>
      </c>
      <c r="J15" s="279">
        <f>Результаты_Класс!O19</f>
        <v>0</v>
      </c>
      <c r="K15" s="156">
        <f>J15/'ОТВЕТЫ УЧАЩИХСЯ'!$E$7</f>
        <v>0</v>
      </c>
    </row>
    <row r="16" spans="1:11" ht="19.5" customHeight="1">
      <c r="A16" s="339">
        <v>11</v>
      </c>
      <c r="B16" s="261" t="s">
        <v>189</v>
      </c>
      <c r="C16" s="342"/>
      <c r="D16" s="279" t="s">
        <v>84</v>
      </c>
      <c r="E16" s="279" t="s">
        <v>92</v>
      </c>
      <c r="F16" s="279">
        <f>Результаты_Класс!P17</f>
        <v>12</v>
      </c>
      <c r="G16" s="280">
        <f>F16/'ОТВЕТЫ УЧАЩИХСЯ'!$E$7</f>
        <v>0.5</v>
      </c>
      <c r="H16" s="279">
        <f>Результаты_Класс!P18</f>
        <v>12</v>
      </c>
      <c r="I16" s="280">
        <f>H16/'ОТВЕТЫ УЧАЩИХСЯ'!$E$7</f>
        <v>0.5</v>
      </c>
      <c r="J16" s="279">
        <f>Результаты_Класс!P19</f>
        <v>0</v>
      </c>
      <c r="K16" s="156">
        <f>J16/'ОТВЕТЫ УЧАЩИХСЯ'!$E$7</f>
        <v>0</v>
      </c>
    </row>
    <row r="17" spans="1:11" ht="19.5" customHeight="1">
      <c r="A17" s="339">
        <v>12</v>
      </c>
      <c r="B17" s="261" t="s">
        <v>190</v>
      </c>
      <c r="C17" s="342"/>
      <c r="D17" s="279" t="s">
        <v>87</v>
      </c>
      <c r="E17" s="279" t="s">
        <v>197</v>
      </c>
      <c r="F17" s="279">
        <f>Результаты_Класс!Q16</f>
        <v>15</v>
      </c>
      <c r="G17" s="280">
        <f>F17/'ОТВЕТЫ УЧАЩИХСЯ'!$E$7</f>
        <v>0.625</v>
      </c>
      <c r="H17" s="279">
        <f>Результаты_Класс!Q18</f>
        <v>7</v>
      </c>
      <c r="I17" s="280">
        <f>H17/'ОТВЕТЫ УЧАЩИХСЯ'!$E$7</f>
        <v>0.29166666666666669</v>
      </c>
      <c r="J17" s="279">
        <f>Результаты_Класс!Q19</f>
        <v>2</v>
      </c>
      <c r="K17" s="156">
        <f>J17/'ОТВЕТЫ УЧАЩИХСЯ'!$E$7</f>
        <v>8.3333333333333329E-2</v>
      </c>
    </row>
    <row r="18" spans="1:11" ht="20.25" customHeight="1">
      <c r="A18" s="339">
        <v>13</v>
      </c>
      <c r="B18" s="261" t="s">
        <v>191</v>
      </c>
      <c r="C18" s="342"/>
      <c r="D18" s="155" t="s">
        <v>84</v>
      </c>
      <c r="E18" s="279" t="s">
        <v>92</v>
      </c>
      <c r="F18" s="279">
        <f>Результаты_Класс!R17</f>
        <v>21</v>
      </c>
      <c r="G18" s="280">
        <f>F18/'ОТВЕТЫ УЧАЩИХСЯ'!$E$7</f>
        <v>0.875</v>
      </c>
      <c r="H18" s="279">
        <f>Результаты_Класс!R18</f>
        <v>3</v>
      </c>
      <c r="I18" s="280">
        <f>H18/'ОТВЕТЫ УЧАЩИХСЯ'!$E$7</f>
        <v>0.125</v>
      </c>
      <c r="J18" s="279">
        <f>Результаты_Класс!R19</f>
        <v>0</v>
      </c>
      <c r="K18" s="156">
        <f>J18/'ОТВЕТЫ УЧАЩИХСЯ'!$E$7</f>
        <v>0</v>
      </c>
    </row>
    <row r="19" spans="1:11" ht="20.25" customHeight="1">
      <c r="A19" s="340">
        <v>14</v>
      </c>
      <c r="B19" s="261" t="s">
        <v>192</v>
      </c>
      <c r="C19" s="342"/>
      <c r="D19" s="155" t="s">
        <v>84</v>
      </c>
      <c r="E19" s="278" t="s">
        <v>92</v>
      </c>
      <c r="F19" s="279">
        <f>Результаты_Класс!S17</f>
        <v>17</v>
      </c>
      <c r="G19" s="280">
        <f>F19/'ОТВЕТЫ УЧАЩИХСЯ'!$E$7</f>
        <v>0.70833333333333337</v>
      </c>
      <c r="H19" s="279">
        <f>Результаты_Класс!S18</f>
        <v>6</v>
      </c>
      <c r="I19" s="280">
        <f>H19/'ОТВЕТЫ УЧАЩИХСЯ'!$E$7</f>
        <v>0.25</v>
      </c>
      <c r="J19" s="279">
        <f>Результаты_Класс!S19</f>
        <v>1</v>
      </c>
      <c r="K19" s="156">
        <f>J19/'ОТВЕТЫ УЧАЩИХСЯ'!$E$7</f>
        <v>4.1666666666666664E-2</v>
      </c>
    </row>
    <row r="20" spans="1:11" ht="20.25" customHeight="1">
      <c r="A20" s="340">
        <v>15</v>
      </c>
      <c r="B20" s="261" t="s">
        <v>193</v>
      </c>
      <c r="C20" s="342"/>
      <c r="D20" s="155" t="s">
        <v>84</v>
      </c>
      <c r="E20" s="279" t="s">
        <v>92</v>
      </c>
      <c r="F20" s="279">
        <f>Результаты_Класс!T17</f>
        <v>20</v>
      </c>
      <c r="G20" s="280">
        <f>F20/'ОТВЕТЫ УЧАЩИХСЯ'!$E$7</f>
        <v>0.83333333333333337</v>
      </c>
      <c r="H20" s="279">
        <f>Результаты_Класс!T18</f>
        <v>3</v>
      </c>
      <c r="I20" s="280">
        <f>H20/'ОТВЕТЫ УЧАЩИХСЯ'!$E$7</f>
        <v>0.125</v>
      </c>
      <c r="J20" s="279">
        <f>Результаты_Класс!T19</f>
        <v>1</v>
      </c>
      <c r="K20" s="156">
        <f>J20/'ОТВЕТЫ УЧАЩИХСЯ'!$E$7</f>
        <v>4.1666666666666664E-2</v>
      </c>
    </row>
    <row r="21" spans="1:11" ht="20.25" customHeight="1">
      <c r="A21" s="340">
        <v>16</v>
      </c>
      <c r="B21" s="261" t="s">
        <v>194</v>
      </c>
      <c r="C21" s="342"/>
      <c r="D21" s="155" t="s">
        <v>87</v>
      </c>
      <c r="E21" s="278" t="s">
        <v>197</v>
      </c>
      <c r="F21" s="279">
        <f>Результаты_Класс!U16</f>
        <v>11</v>
      </c>
      <c r="G21" s="280">
        <f>F21/'ОТВЕТЫ УЧАЩИХСЯ'!$E$7</f>
        <v>0.45833333333333331</v>
      </c>
      <c r="H21" s="279">
        <f>Результаты_Класс!U18</f>
        <v>1</v>
      </c>
      <c r="I21" s="280">
        <f>H21/'ОТВЕТЫ УЧАЩИХСЯ'!$E$7</f>
        <v>4.1666666666666664E-2</v>
      </c>
      <c r="J21" s="279">
        <f>Результаты_Класс!U19</f>
        <v>2</v>
      </c>
      <c r="K21" s="156">
        <f>J21/'ОТВЕТЫ УЧАЩИХСЯ'!$E$7</f>
        <v>8.3333333333333329E-2</v>
      </c>
    </row>
    <row r="22" spans="1:11" ht="23.25" customHeight="1">
      <c r="A22" s="340">
        <v>17</v>
      </c>
      <c r="B22" s="261" t="s">
        <v>195</v>
      </c>
      <c r="C22" s="342"/>
      <c r="D22" s="155" t="s">
        <v>87</v>
      </c>
      <c r="E22" s="279" t="s">
        <v>197</v>
      </c>
      <c r="F22" s="279">
        <f>Результаты_Класс!X16</f>
        <v>18</v>
      </c>
      <c r="G22" s="280">
        <f>F22/'ОТВЕТЫ УЧАЩИХСЯ'!$E$7</f>
        <v>0.75</v>
      </c>
      <c r="H22" s="279">
        <f>Результаты_Класс!X18</f>
        <v>5</v>
      </c>
      <c r="I22" s="280">
        <f>H22/'ОТВЕТЫ УЧАЩИХСЯ'!$E$7</f>
        <v>0.20833333333333334</v>
      </c>
      <c r="J22" s="279">
        <f>Результаты_Класс!X19</f>
        <v>1</v>
      </c>
      <c r="K22" s="156">
        <f>J22/'ОТВЕТЫ УЧАЩИХСЯ'!$E$7</f>
        <v>4.1666666666666664E-2</v>
      </c>
    </row>
    <row r="23" spans="1:11" ht="23.25" customHeight="1">
      <c r="A23" s="341">
        <v>18</v>
      </c>
      <c r="B23" s="261" t="s">
        <v>196</v>
      </c>
      <c r="C23" s="342"/>
      <c r="D23" s="337" t="s">
        <v>87</v>
      </c>
      <c r="E23" s="337" t="s">
        <v>197</v>
      </c>
      <c r="F23" s="337">
        <f>Результаты_Класс!Y16</f>
        <v>0</v>
      </c>
      <c r="G23" s="338">
        <f>F23/'ОТВЕТЫ УЧАЩИХСЯ'!$E$7</f>
        <v>0</v>
      </c>
      <c r="H23" s="337">
        <f>Результаты_Класс!Y18</f>
        <v>0</v>
      </c>
      <c r="I23" s="338">
        <f>H23/'ОТВЕТЫ УЧАЩИХСЯ'!$E$7</f>
        <v>0</v>
      </c>
      <c r="J23" s="337">
        <f>Результаты_Класс!Y19</f>
        <v>0</v>
      </c>
      <c r="K23" s="156">
        <f>J23/'ОТВЕТЫ УЧАЩИХСЯ'!$E$7</f>
        <v>0</v>
      </c>
    </row>
  </sheetData>
  <sheetProtection password="C62D" sheet="1"/>
  <customSheetViews>
    <customSheetView guid="{BFE542F4-8A0C-4C42-A5CA-C7B0ACF2717E}">
      <selection activeCell="AA6" sqref="AA6"/>
      <pageMargins left="0.23622047244094491" right="0.23622047244094491" top="0.74803149606299213" bottom="0.74803149606299213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12">
    <mergeCell ref="A1:K1"/>
    <mergeCell ref="F4:G4"/>
    <mergeCell ref="H4:I4"/>
    <mergeCell ref="B2:F2"/>
    <mergeCell ref="J4:K4"/>
    <mergeCell ref="G2:H2"/>
    <mergeCell ref="A3:K3"/>
    <mergeCell ref="C4:C5"/>
    <mergeCell ref="A4:A5"/>
    <mergeCell ref="B4:B5"/>
    <mergeCell ref="E4:E5"/>
    <mergeCell ref="D4:D5"/>
  </mergeCell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ignoredErrors>
    <ignoredError sqref="H6:H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workbookViewId="0">
      <selection activeCell="C8" sqref="C8"/>
    </sheetView>
  </sheetViews>
  <sheetFormatPr defaultColWidth="58.5703125" defaultRowHeight="12.75"/>
  <cols>
    <col min="1" max="1" width="6" style="49" customWidth="1"/>
    <col min="2" max="2" width="11.28515625" style="49" customWidth="1"/>
    <col min="3" max="13" width="4.28515625" style="49" customWidth="1"/>
    <col min="14" max="14" width="9.85546875" style="49" customWidth="1"/>
    <col min="15" max="20" width="4.28515625" style="49" customWidth="1"/>
    <col min="21" max="231" width="9.140625" style="49" customWidth="1"/>
    <col min="232" max="232" width="5.5703125" style="49" customWidth="1"/>
    <col min="233" max="16384" width="58.5703125" style="49"/>
  </cols>
  <sheetData>
    <row r="1" spans="1:20" ht="35.25" customHeight="1">
      <c r="A1" s="489" t="s">
        <v>198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38.25" customHeight="1">
      <c r="A2" s="100" t="s">
        <v>88</v>
      </c>
      <c r="B2" s="507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</row>
    <row r="3" spans="1:20" ht="9" customHeight="1">
      <c r="A3" s="100"/>
      <c r="B3" s="188"/>
      <c r="C3" s="188"/>
      <c r="D3" s="188"/>
      <c r="E3" s="188"/>
      <c r="F3" s="188"/>
      <c r="P3" s="189"/>
      <c r="Q3" s="189"/>
      <c r="R3" s="192"/>
      <c r="T3" s="191"/>
    </row>
    <row r="4" spans="1:20">
      <c r="A4" s="504" t="s">
        <v>85</v>
      </c>
      <c r="B4" s="504"/>
      <c r="C4" s="190">
        <v>1</v>
      </c>
      <c r="D4" s="190">
        <v>2</v>
      </c>
      <c r="E4" s="190">
        <v>3</v>
      </c>
      <c r="F4" s="190">
        <v>4</v>
      </c>
      <c r="G4" s="190">
        <v>5</v>
      </c>
      <c r="H4" s="190">
        <v>6</v>
      </c>
      <c r="I4" s="190">
        <v>7</v>
      </c>
      <c r="J4" s="190">
        <v>8</v>
      </c>
      <c r="K4" s="190">
        <v>9</v>
      </c>
      <c r="L4" s="190">
        <v>10</v>
      </c>
      <c r="M4" s="190">
        <v>11</v>
      </c>
      <c r="N4" s="190">
        <v>12</v>
      </c>
      <c r="O4" s="190">
        <v>13</v>
      </c>
      <c r="P4" s="190">
        <v>14</v>
      </c>
      <c r="Q4" s="190">
        <v>15</v>
      </c>
      <c r="R4" s="190">
        <v>16</v>
      </c>
      <c r="S4" s="190">
        <v>17</v>
      </c>
      <c r="T4" s="190">
        <v>18</v>
      </c>
    </row>
    <row r="5" spans="1:20" ht="31.5" customHeight="1">
      <c r="A5" s="505" t="s">
        <v>79</v>
      </c>
      <c r="B5" s="505"/>
      <c r="C5" s="190" t="s">
        <v>84</v>
      </c>
      <c r="D5" s="190" t="s">
        <v>84</v>
      </c>
      <c r="E5" s="190" t="s">
        <v>84</v>
      </c>
      <c r="F5" s="190" t="s">
        <v>84</v>
      </c>
      <c r="G5" s="190" t="s">
        <v>84</v>
      </c>
      <c r="H5" s="190" t="s">
        <v>84</v>
      </c>
      <c r="I5" s="190" t="s">
        <v>87</v>
      </c>
      <c r="J5" s="190" t="s">
        <v>87</v>
      </c>
      <c r="K5" s="190" t="s">
        <v>87</v>
      </c>
      <c r="L5" s="190" t="s">
        <v>84</v>
      </c>
      <c r="M5" s="190" t="s">
        <v>84</v>
      </c>
      <c r="N5" s="190" t="s">
        <v>87</v>
      </c>
      <c r="O5" s="190" t="s">
        <v>84</v>
      </c>
      <c r="P5" s="190" t="s">
        <v>84</v>
      </c>
      <c r="Q5" s="190" t="s">
        <v>84</v>
      </c>
      <c r="R5" s="190" t="s">
        <v>87</v>
      </c>
      <c r="S5" s="190" t="s">
        <v>87</v>
      </c>
      <c r="T5" s="190" t="s">
        <v>87</v>
      </c>
    </row>
    <row r="6" spans="1:20" ht="28.5" customHeight="1">
      <c r="A6" s="505" t="s">
        <v>167</v>
      </c>
      <c r="B6" s="505"/>
      <c r="C6" s="506" t="s">
        <v>168</v>
      </c>
      <c r="D6" s="506"/>
      <c r="E6" s="506"/>
      <c r="F6" s="506"/>
      <c r="G6" s="506"/>
      <c r="H6" s="506"/>
      <c r="I6" s="506" t="s">
        <v>169</v>
      </c>
      <c r="J6" s="506"/>
      <c r="K6" s="506"/>
      <c r="L6" s="506" t="s">
        <v>168</v>
      </c>
      <c r="M6" s="506"/>
      <c r="N6" s="190" t="s">
        <v>169</v>
      </c>
      <c r="O6" s="506" t="s">
        <v>168</v>
      </c>
      <c r="P6" s="506"/>
      <c r="Q6" s="506"/>
      <c r="R6" s="506" t="s">
        <v>169</v>
      </c>
      <c r="S6" s="506"/>
      <c r="T6" s="506"/>
    </row>
    <row r="7" spans="1:20" ht="54" customHeight="1">
      <c r="A7" s="503" t="s">
        <v>170</v>
      </c>
      <c r="B7" s="503"/>
      <c r="C7" s="298">
        <f>План!G6</f>
        <v>0.875</v>
      </c>
      <c r="D7" s="298">
        <f>План!G7</f>
        <v>0.91666666666666663</v>
      </c>
      <c r="E7" s="298">
        <f>План!G8</f>
        <v>0.79166666666666663</v>
      </c>
      <c r="F7" s="298">
        <f>План!G9</f>
        <v>0.58333333333333337</v>
      </c>
      <c r="G7" s="298">
        <f>План!G10</f>
        <v>0.70833333333333337</v>
      </c>
      <c r="H7" s="298">
        <f>План!G11</f>
        <v>0.75</v>
      </c>
      <c r="I7" s="298">
        <f>План!G12</f>
        <v>0.375</v>
      </c>
      <c r="J7" s="298">
        <f>План!G13</f>
        <v>0.625</v>
      </c>
      <c r="K7" s="298">
        <f>План!G14</f>
        <v>0.66666666666666663</v>
      </c>
      <c r="L7" s="298">
        <f>План!G15</f>
        <v>0.66666666666666663</v>
      </c>
      <c r="M7" s="298">
        <f>План!G16</f>
        <v>0.5</v>
      </c>
      <c r="N7" s="298">
        <f>План!G17</f>
        <v>0.625</v>
      </c>
      <c r="O7" s="298">
        <f>План!G18</f>
        <v>0.875</v>
      </c>
      <c r="P7" s="298">
        <f>План!G19</f>
        <v>0.70833333333333337</v>
      </c>
      <c r="Q7" s="298">
        <f>План!G20</f>
        <v>0.83333333333333337</v>
      </c>
      <c r="R7" s="298">
        <f>План!G21</f>
        <v>0.45833333333333331</v>
      </c>
      <c r="S7" s="298">
        <f>План!G22</f>
        <v>0.75</v>
      </c>
      <c r="T7" s="298">
        <f>План!G23</f>
        <v>0</v>
      </c>
    </row>
    <row r="8" spans="1:20" ht="18.75" customHeight="1">
      <c r="A8" s="299"/>
      <c r="B8" s="301"/>
      <c r="C8" s="302">
        <v>0.3</v>
      </c>
      <c r="D8" s="302">
        <v>0.3</v>
      </c>
      <c r="E8" s="302">
        <v>0.3</v>
      </c>
      <c r="F8" s="302">
        <v>0.3</v>
      </c>
      <c r="G8" s="302">
        <v>0.3</v>
      </c>
      <c r="H8" s="302">
        <v>0.3</v>
      </c>
      <c r="I8" s="302">
        <v>0.2</v>
      </c>
      <c r="J8" s="302">
        <v>0.2</v>
      </c>
      <c r="K8" s="302">
        <v>0.2</v>
      </c>
      <c r="L8" s="302">
        <v>0.3</v>
      </c>
      <c r="M8" s="302">
        <v>0.3</v>
      </c>
      <c r="N8" s="302">
        <v>0.2</v>
      </c>
      <c r="O8" s="302">
        <v>0.3</v>
      </c>
      <c r="P8" s="302">
        <v>0.3</v>
      </c>
      <c r="Q8" s="302">
        <v>0.3</v>
      </c>
      <c r="R8" s="302">
        <v>0.2</v>
      </c>
      <c r="S8" s="302">
        <v>0.2</v>
      </c>
      <c r="T8" s="302">
        <v>0.2</v>
      </c>
    </row>
    <row r="9" spans="1:20" ht="40.5" customHeight="1">
      <c r="A9" s="299"/>
      <c r="B9" s="301"/>
      <c r="C9" s="302">
        <v>0.6</v>
      </c>
      <c r="D9" s="302">
        <v>0.6</v>
      </c>
      <c r="E9" s="302">
        <v>0.6</v>
      </c>
      <c r="F9" s="302">
        <v>0.6</v>
      </c>
      <c r="G9" s="302">
        <v>0.6</v>
      </c>
      <c r="H9" s="302">
        <v>0.6</v>
      </c>
      <c r="I9" s="302">
        <v>0.4</v>
      </c>
      <c r="J9" s="302">
        <v>0.4</v>
      </c>
      <c r="K9" s="302">
        <v>0.4</v>
      </c>
      <c r="L9" s="302">
        <v>0.6</v>
      </c>
      <c r="M9" s="302">
        <v>0.6</v>
      </c>
      <c r="N9" s="302">
        <v>0.4</v>
      </c>
      <c r="O9" s="302">
        <v>0.6</v>
      </c>
      <c r="P9" s="302">
        <v>0.6</v>
      </c>
      <c r="Q9" s="302">
        <v>0.6</v>
      </c>
      <c r="R9" s="302">
        <v>0.4</v>
      </c>
      <c r="S9" s="302">
        <v>0.4</v>
      </c>
      <c r="T9" s="302">
        <v>0.4</v>
      </c>
    </row>
    <row r="10" spans="1:20" ht="21" customHeight="1">
      <c r="A10" s="299"/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1:20" ht="33.75" customHeight="1"/>
    <row r="12" spans="1:20" ht="25.5" customHeight="1"/>
    <row r="13" spans="1:20" ht="19.5" customHeight="1"/>
    <row r="14" spans="1:20" ht="19.5" customHeight="1"/>
    <row r="15" spans="1:20" ht="19.5" customHeight="1"/>
    <row r="16" spans="1:20" ht="19.5" customHeight="1"/>
    <row r="17" ht="19.5" customHeight="1"/>
    <row r="18" ht="19.5" customHeight="1"/>
    <row r="19" ht="36" customHeight="1"/>
    <row r="20" ht="30.75" customHeight="1"/>
    <row r="21" ht="35.25" customHeight="1"/>
    <row r="22" ht="26.25" customHeight="1"/>
    <row r="23" ht="24" customHeight="1"/>
    <row r="24" ht="20.25" customHeight="1"/>
    <row r="25" ht="20.25" customHeight="1"/>
    <row r="26" ht="20.25" customHeight="1"/>
    <row r="27" ht="20.25" customHeight="1"/>
    <row r="28" ht="21" customHeight="1"/>
    <row r="29" ht="19.5" customHeight="1"/>
    <row r="30" ht="19.5" customHeight="1"/>
    <row r="31" ht="20.25" customHeight="1"/>
  </sheetData>
  <sheetProtection password="C62D" sheet="1" scenarios="1" selectLockedCells="1" selectUnlockedCells="1"/>
  <mergeCells count="11">
    <mergeCell ref="R6:T6"/>
    <mergeCell ref="O6:Q6"/>
    <mergeCell ref="L6:M6"/>
    <mergeCell ref="A1:T1"/>
    <mergeCell ref="B2:T2"/>
    <mergeCell ref="A7:B7"/>
    <mergeCell ref="A4:B4"/>
    <mergeCell ref="A5:B5"/>
    <mergeCell ref="A6:B6"/>
    <mergeCell ref="I6:K6"/>
    <mergeCell ref="C6:H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workbookViewId="0">
      <selection activeCell="C8" sqref="C8"/>
    </sheetView>
  </sheetViews>
  <sheetFormatPr defaultRowHeight="12.75"/>
  <cols>
    <col min="2" max="2" width="12.28515625" customWidth="1"/>
    <col min="3" max="12" width="10.7109375" customWidth="1"/>
  </cols>
  <sheetData>
    <row r="1" spans="1:15" ht="6" customHeight="1"/>
    <row r="2" spans="1:15" ht="21" customHeight="1">
      <c r="A2" s="508" t="s">
        <v>199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108"/>
      <c r="N2" s="108"/>
      <c r="O2" s="108"/>
    </row>
    <row r="3" spans="1:15" ht="32.25" customHeight="1">
      <c r="A3" s="117" t="s">
        <v>88</v>
      </c>
      <c r="B3" s="509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3" s="509"/>
      <c r="D3" s="509"/>
      <c r="E3" s="509"/>
      <c r="F3" s="509"/>
      <c r="G3" s="509"/>
      <c r="H3" s="509"/>
      <c r="J3" s="109" t="s">
        <v>89</v>
      </c>
      <c r="K3" s="102" t="str">
        <f>'СПИСОК КЛАССА'!J1</f>
        <v>0502</v>
      </c>
      <c r="L3" s="109"/>
      <c r="N3" s="49"/>
      <c r="O3" s="49"/>
    </row>
    <row r="4" spans="1:15" ht="7.5" customHeight="1">
      <c r="A4" s="117"/>
      <c r="B4" s="160"/>
      <c r="C4" s="170"/>
      <c r="D4" s="170"/>
      <c r="E4" s="275"/>
      <c r="F4" s="275"/>
      <c r="G4" s="170"/>
      <c r="H4" s="170"/>
      <c r="I4" s="109"/>
      <c r="J4" s="109"/>
      <c r="K4" s="159"/>
      <c r="L4" s="109"/>
      <c r="N4" s="49"/>
      <c r="O4" s="49"/>
    </row>
    <row r="5" spans="1:15" ht="29.25" customHeight="1">
      <c r="B5" s="512" t="s">
        <v>114</v>
      </c>
      <c r="C5" s="515" t="s">
        <v>119</v>
      </c>
      <c r="D5" s="515"/>
      <c r="E5" s="515"/>
      <c r="F5" s="515"/>
      <c r="G5" s="515"/>
      <c r="H5" s="515"/>
      <c r="I5" s="515"/>
      <c r="J5" s="515"/>
      <c r="K5" s="515"/>
      <c r="L5" s="515"/>
      <c r="M5" s="107"/>
      <c r="N5" s="107"/>
      <c r="O5" s="107"/>
    </row>
    <row r="6" spans="1:15" ht="23.25" customHeight="1">
      <c r="B6" s="513"/>
      <c r="C6" s="510" t="s">
        <v>200</v>
      </c>
      <c r="D6" s="511"/>
      <c r="E6" s="510" t="s">
        <v>118</v>
      </c>
      <c r="F6" s="511"/>
      <c r="G6" s="510" t="s">
        <v>115</v>
      </c>
      <c r="H6" s="511"/>
      <c r="I6" s="510" t="s">
        <v>116</v>
      </c>
      <c r="J6" s="511"/>
      <c r="K6" s="515" t="s">
        <v>117</v>
      </c>
      <c r="L6" s="515"/>
    </row>
    <row r="7" spans="1:15" ht="29.25" customHeight="1">
      <c r="B7" s="514"/>
      <c r="C7" s="153" t="s">
        <v>151</v>
      </c>
      <c r="D7" s="153" t="s">
        <v>152</v>
      </c>
      <c r="E7" s="274" t="s">
        <v>151</v>
      </c>
      <c r="F7" s="274" t="s">
        <v>152</v>
      </c>
      <c r="G7" s="153" t="s">
        <v>151</v>
      </c>
      <c r="H7" s="153" t="s">
        <v>152</v>
      </c>
      <c r="I7" s="153" t="s">
        <v>151</v>
      </c>
      <c r="J7" s="153" t="s">
        <v>152</v>
      </c>
      <c r="K7" s="153" t="s">
        <v>151</v>
      </c>
      <c r="L7" s="153" t="s">
        <v>152</v>
      </c>
    </row>
    <row r="8" spans="1:15" ht="22.5" customHeight="1">
      <c r="B8" s="110">
        <f>'ОТВЕТЫ УЧАЩИХСЯ'!E7</f>
        <v>24</v>
      </c>
      <c r="C8" s="163">
        <f>Результаты_Класс!AF19</f>
        <v>0</v>
      </c>
      <c r="D8" s="111">
        <f>C8/$B$8</f>
        <v>0</v>
      </c>
      <c r="E8" s="163">
        <f>Результаты_Класс!AF18</f>
        <v>3</v>
      </c>
      <c r="F8" s="111">
        <f>E8/$B$8</f>
        <v>0.125</v>
      </c>
      <c r="G8" s="163">
        <f>Результаты_Класс!AF17</f>
        <v>16</v>
      </c>
      <c r="H8" s="111">
        <f>G8/$B$8</f>
        <v>0.66666666666666663</v>
      </c>
      <c r="I8" s="163">
        <f>Результаты_Класс!AF16</f>
        <v>3</v>
      </c>
      <c r="J8" s="111">
        <f>I8/$B$8</f>
        <v>0.125</v>
      </c>
      <c r="K8" s="164">
        <f>Результаты_Класс!AF15</f>
        <v>2</v>
      </c>
      <c r="L8" s="111">
        <f>K8/$B$8</f>
        <v>8.3333333333333329E-2</v>
      </c>
      <c r="M8" s="112"/>
    </row>
    <row r="9" spans="1:15">
      <c r="B9" s="165"/>
      <c r="C9" s="165"/>
      <c r="D9" s="165" t="s">
        <v>118</v>
      </c>
      <c r="E9" s="165"/>
      <c r="F9" s="165" t="s">
        <v>173</v>
      </c>
      <c r="G9" s="165"/>
      <c r="H9" s="165" t="s">
        <v>115</v>
      </c>
      <c r="I9" s="165"/>
      <c r="J9" s="165" t="s">
        <v>116</v>
      </c>
      <c r="K9" s="165"/>
      <c r="L9" s="165" t="s">
        <v>117</v>
      </c>
    </row>
    <row r="17" spans="14:14">
      <c r="N17" s="53"/>
    </row>
    <row r="18" spans="14:14">
      <c r="N18" s="53"/>
    </row>
    <row r="19" spans="14:14">
      <c r="N19" s="53"/>
    </row>
    <row r="20" spans="14:14">
      <c r="N20" s="53"/>
    </row>
    <row r="21" spans="14:14">
      <c r="N21" s="53"/>
    </row>
    <row r="22" spans="14:14">
      <c r="N22" s="53"/>
    </row>
    <row r="23" spans="14:14">
      <c r="N23" s="53"/>
    </row>
    <row r="24" spans="14:14">
      <c r="N24" s="53"/>
    </row>
    <row r="25" spans="14:14">
      <c r="N25" s="53"/>
    </row>
    <row r="26" spans="14:14">
      <c r="N26" s="53"/>
    </row>
    <row r="27" spans="14:14">
      <c r="N27" s="53"/>
    </row>
    <row r="28" spans="14:14">
      <c r="N28" s="53"/>
    </row>
    <row r="29" spans="14:14">
      <c r="N29" s="53"/>
    </row>
    <row r="30" spans="14:14">
      <c r="N30" s="53"/>
    </row>
    <row r="31" spans="14:14">
      <c r="N31" s="53"/>
    </row>
    <row r="32" spans="14:14">
      <c r="N32" s="53"/>
    </row>
    <row r="33" spans="14:14">
      <c r="N33" s="53"/>
    </row>
    <row r="34" spans="14:14">
      <c r="N34" s="53"/>
    </row>
    <row r="35" spans="14:14">
      <c r="N35" s="53"/>
    </row>
    <row r="36" spans="14:14">
      <c r="N36" s="53"/>
    </row>
    <row r="37" spans="14:14">
      <c r="N37" s="53"/>
    </row>
    <row r="38" spans="14:14">
      <c r="N38" s="53"/>
    </row>
    <row r="39" spans="14:14">
      <c r="N39" s="53"/>
    </row>
    <row r="40" spans="14:14">
      <c r="N40" s="53"/>
    </row>
    <row r="41" spans="14:14">
      <c r="N41" s="53"/>
    </row>
    <row r="42" spans="14:14">
      <c r="N42" s="53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7" right="0.7" top="0.75" bottom="0.75" header="0.3" footer="0.3"/>
      <pageSetup paperSize="9" orientation="portrait" verticalDpi="0" r:id="rId1"/>
    </customSheetView>
  </customSheetViews>
  <mergeCells count="9">
    <mergeCell ref="A2:L2"/>
    <mergeCell ref="B3:H3"/>
    <mergeCell ref="C6:D6"/>
    <mergeCell ref="B5:B7"/>
    <mergeCell ref="G6:H6"/>
    <mergeCell ref="I6:J6"/>
    <mergeCell ref="K6:L6"/>
    <mergeCell ref="C5:L5"/>
    <mergeCell ref="E6:F6"/>
  </mergeCells>
  <pageMargins left="0.7" right="0.7" top="0.75" bottom="0.75" header="0.3" footer="0.3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7"/>
  <sheetViews>
    <sheetView view="pageLayout" workbookViewId="0">
      <selection activeCell="F5" sqref="F5"/>
    </sheetView>
  </sheetViews>
  <sheetFormatPr defaultColWidth="58.5703125" defaultRowHeight="12.75"/>
  <cols>
    <col min="1" max="1" width="8.85546875" customWidth="1"/>
    <col min="2" max="2" width="22.5703125" customWidth="1"/>
    <col min="3" max="3" width="36.42578125" customWidth="1"/>
    <col min="4" max="4" width="29.5703125" customWidth="1"/>
    <col min="5" max="5" width="32" customWidth="1"/>
    <col min="6" max="6" width="6.5703125" customWidth="1"/>
    <col min="7" max="7" width="8.42578125" customWidth="1"/>
    <col min="8" max="8" width="6.5703125" customWidth="1"/>
    <col min="9" max="207" width="9.140625" customWidth="1"/>
    <col min="208" max="208" width="5.5703125" customWidth="1"/>
  </cols>
  <sheetData>
    <row r="1" spans="1:8" s="49" customFormat="1" ht="17.25" customHeight="1">
      <c r="A1" s="508" t="s">
        <v>201</v>
      </c>
      <c r="B1" s="508"/>
      <c r="C1" s="508"/>
      <c r="D1" s="508"/>
      <c r="E1" s="508"/>
      <c r="F1" s="508"/>
      <c r="G1" s="508"/>
      <c r="H1" s="108"/>
    </row>
    <row r="2" spans="1:8" s="49" customFormat="1" ht="27" customHeight="1">
      <c r="A2" s="50" t="s">
        <v>88</v>
      </c>
      <c r="B2" s="509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№80</v>
      </c>
      <c r="C2" s="509"/>
      <c r="D2" s="509"/>
      <c r="E2" s="128" t="s">
        <v>89</v>
      </c>
      <c r="F2" s="516" t="str">
        <f>'СПИСОК КЛАССА'!J1</f>
        <v>0502</v>
      </c>
      <c r="G2" s="516"/>
    </row>
    <row r="3" spans="1:8" s="49" customFormat="1" ht="2.25" customHeight="1">
      <c r="A3" s="494"/>
      <c r="B3" s="494"/>
      <c r="C3" s="494"/>
      <c r="D3" s="494"/>
      <c r="E3" s="494"/>
      <c r="F3" s="494"/>
      <c r="G3" s="494"/>
      <c r="H3" s="494"/>
    </row>
    <row r="4" spans="1:8" ht="52.5" customHeight="1">
      <c r="A4" s="113"/>
      <c r="B4" s="114"/>
      <c r="C4" s="115" t="s">
        <v>149</v>
      </c>
      <c r="D4" s="515" t="s">
        <v>150</v>
      </c>
      <c r="E4" s="515"/>
    </row>
    <row r="5" spans="1:8" ht="78" customHeight="1">
      <c r="A5" s="116"/>
      <c r="B5" s="115" t="s">
        <v>93</v>
      </c>
      <c r="C5" s="115" t="s">
        <v>202</v>
      </c>
      <c r="D5" s="115" t="s">
        <v>203</v>
      </c>
      <c r="E5" s="115" t="s">
        <v>204</v>
      </c>
    </row>
    <row r="6" spans="1:8" ht="18" customHeight="1">
      <c r="A6" s="110" t="s">
        <v>94</v>
      </c>
      <c r="B6" s="161">
        <f>Результаты_Класс!AA19*100</f>
        <v>62.5</v>
      </c>
      <c r="C6" s="162">
        <f>COUNTIF(Результаты_Класс!Z20:Z59,"&lt;=10")/'ОТВЕТЫ УЧАЩИХСЯ'!E7*100</f>
        <v>12.5</v>
      </c>
      <c r="D6" s="162">
        <f>((COUNTIF(Результаты_Класс!Z20:Z59,"&gt;10"))-(COUNTIF(Результаты_Класс!Z20:Z59,"&gt;=18")))/('ОТВЕТЫ УЧАЩИХСЯ'!E7)*100</f>
        <v>66.666666666666657</v>
      </c>
      <c r="E6" s="162">
        <f>COUNTIF(Результаты_Класс!Z20:Z59,"&gt;=19")/'ОТВЕТЫ УЧАЩИХСЯ'!E7*100</f>
        <v>20.833333333333336</v>
      </c>
      <c r="G6" s="112"/>
    </row>
    <row r="7" spans="1:8">
      <c r="B7" s="127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11811023622047245" right="0.11811023622047245" top="0.60416666666666663" bottom="0.19685039370078741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5">
    <mergeCell ref="A3:H3"/>
    <mergeCell ref="D4:E4"/>
    <mergeCell ref="F2:G2"/>
    <mergeCell ref="B2:D2"/>
    <mergeCell ref="A1:G1"/>
  </mergeCells>
  <pageMargins left="0.11811023622047245" right="0.11811023622047245" top="0.60416666666666663" bottom="0.19685039370078741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СПИСОК КЛАССА</vt:lpstr>
      <vt:lpstr>ПРОТОКОЛ</vt:lpstr>
      <vt:lpstr>АНКЕТА УЧИТЕЛЯ</vt:lpstr>
      <vt:lpstr>ОТВЕТЫ УЧАЩИХСЯ</vt:lpstr>
      <vt:lpstr>Результаты_Класс</vt:lpstr>
      <vt:lpstr>План</vt:lpstr>
      <vt:lpstr>Коридор</vt:lpstr>
      <vt:lpstr>Уровни</vt:lpstr>
      <vt:lpstr>Базовый_1</vt:lpstr>
      <vt:lpstr>Базовый_2</vt:lpstr>
      <vt:lpstr>Базовый_3</vt:lpstr>
      <vt:lpstr>Пов_1</vt:lpstr>
      <vt:lpstr>КИМ_2</vt:lpstr>
      <vt:lpstr>Лист1</vt:lpstr>
      <vt:lpstr>План!Заголовки_для_печати</vt:lpstr>
      <vt:lpstr>'ОТВЕТЫ УЧАЩИХСЯ'!Область_печати</vt:lpstr>
      <vt:lpstr>Результаты_Класс!Область_печати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Zauch2</cp:lastModifiedBy>
  <cp:lastPrinted>2013-09-07T04:54:36Z</cp:lastPrinted>
  <dcterms:created xsi:type="dcterms:W3CDTF">2007-09-13T11:07:26Z</dcterms:created>
  <dcterms:modified xsi:type="dcterms:W3CDTF">2014-03-26T05:21:48Z</dcterms:modified>
</cp:coreProperties>
</file>